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3256" windowHeight="12300"/>
  </bookViews>
  <sheets>
    <sheet name="TDSheet" sheetId="1" r:id="rId1"/>
  </sheets>
  <definedNames>
    <definedName name="_xlnm._FilterDatabase" localSheetId="0" hidden="1">TDSheet!$B$12:$AI$2799</definedName>
  </definedNames>
  <calcPr calcId="144525" refMode="R1C1"/>
</workbook>
</file>

<file path=xl/calcChain.xml><?xml version="1.0" encoding="utf-8"?>
<calcChain xmlns="http://schemas.openxmlformats.org/spreadsheetml/2006/main">
  <c r="M18" i="1" l="1"/>
  <c r="O18" i="1" s="1"/>
  <c r="P18" i="1"/>
  <c r="Q18" i="1"/>
  <c r="Z18" i="1"/>
  <c r="M19" i="1"/>
  <c r="O19" i="1" s="1"/>
  <c r="P19" i="1"/>
  <c r="Q19" i="1"/>
  <c r="Z19" i="1"/>
  <c r="M20" i="1"/>
  <c r="O20" i="1" s="1"/>
  <c r="P20" i="1"/>
  <c r="Q20" i="1"/>
  <c r="Z20" i="1"/>
  <c r="M21" i="1"/>
  <c r="O21" i="1" s="1"/>
  <c r="P21" i="1"/>
  <c r="Q21" i="1"/>
  <c r="Z21" i="1"/>
  <c r="M22" i="1"/>
  <c r="O22" i="1" s="1"/>
  <c r="P22" i="1"/>
  <c r="Q22" i="1"/>
  <c r="Z22" i="1"/>
  <c r="M24" i="1"/>
  <c r="O24" i="1" s="1"/>
  <c r="P24" i="1"/>
  <c r="Q24" i="1"/>
  <c r="Z24" i="1"/>
  <c r="M26" i="1"/>
  <c r="O26" i="1" s="1"/>
  <c r="P26" i="1"/>
  <c r="Q26" i="1"/>
  <c r="Z26" i="1"/>
  <c r="M27" i="1"/>
  <c r="O27" i="1" s="1"/>
  <c r="P27" i="1"/>
  <c r="Q27" i="1"/>
  <c r="Z27" i="1"/>
  <c r="M28" i="1"/>
  <c r="O28" i="1" s="1"/>
  <c r="P28" i="1"/>
  <c r="Q28" i="1"/>
  <c r="Z28" i="1"/>
  <c r="M30" i="1"/>
  <c r="O30" i="1" s="1"/>
  <c r="P30" i="1"/>
  <c r="Q30" i="1"/>
  <c r="Z30" i="1"/>
  <c r="M31" i="1"/>
  <c r="O31" i="1" s="1"/>
  <c r="P31" i="1"/>
  <c r="Q31" i="1"/>
  <c r="Z31" i="1"/>
  <c r="M33" i="1"/>
  <c r="O33" i="1" s="1"/>
  <c r="P33" i="1"/>
  <c r="Q33" i="1"/>
  <c r="Z33" i="1"/>
  <c r="M36" i="1"/>
  <c r="O36" i="1" s="1"/>
  <c r="P36" i="1"/>
  <c r="Q36" i="1"/>
  <c r="Z36" i="1"/>
  <c r="M37" i="1"/>
  <c r="O37" i="1" s="1"/>
  <c r="P37" i="1"/>
  <c r="Q37" i="1"/>
  <c r="Z37" i="1"/>
  <c r="M38" i="1"/>
  <c r="O38" i="1" s="1"/>
  <c r="P38" i="1"/>
  <c r="Q38" i="1"/>
  <c r="Z38" i="1"/>
  <c r="M39" i="1"/>
  <c r="O39" i="1" s="1"/>
  <c r="P39" i="1"/>
  <c r="Q39" i="1"/>
  <c r="Z39" i="1"/>
  <c r="M40" i="1"/>
  <c r="O40" i="1" s="1"/>
  <c r="P40" i="1"/>
  <c r="Q40" i="1"/>
  <c r="Z40" i="1"/>
  <c r="M41" i="1"/>
  <c r="O41" i="1" s="1"/>
  <c r="P41" i="1"/>
  <c r="Q41" i="1"/>
  <c r="Z41" i="1"/>
  <c r="M43" i="1"/>
  <c r="O43" i="1" s="1"/>
  <c r="P43" i="1"/>
  <c r="Q43" i="1"/>
  <c r="Z43" i="1"/>
  <c r="M44" i="1"/>
  <c r="O44" i="1" s="1"/>
  <c r="P44" i="1"/>
  <c r="Q44" i="1"/>
  <c r="Z44" i="1"/>
  <c r="M45" i="1"/>
  <c r="O45" i="1" s="1"/>
  <c r="P45" i="1"/>
  <c r="Q45" i="1"/>
  <c r="Z45" i="1"/>
  <c r="M46" i="1"/>
  <c r="O46" i="1" s="1"/>
  <c r="P46" i="1"/>
  <c r="Q46" i="1"/>
  <c r="Z46" i="1"/>
  <c r="M47" i="1"/>
  <c r="O47" i="1" s="1"/>
  <c r="P47" i="1"/>
  <c r="Q47" i="1"/>
  <c r="Z47" i="1"/>
  <c r="M48" i="1"/>
  <c r="O48" i="1" s="1"/>
  <c r="P48" i="1"/>
  <c r="Q48" i="1"/>
  <c r="Z48" i="1"/>
  <c r="M49" i="1"/>
  <c r="O49" i="1" s="1"/>
  <c r="P49" i="1"/>
  <c r="Q49" i="1"/>
  <c r="Z49" i="1"/>
  <c r="M50" i="1"/>
  <c r="O50" i="1" s="1"/>
  <c r="P50" i="1"/>
  <c r="Q50" i="1"/>
  <c r="Z50" i="1"/>
  <c r="M52" i="1"/>
  <c r="O52" i="1" s="1"/>
  <c r="P52" i="1"/>
  <c r="Q52" i="1"/>
  <c r="Z52" i="1"/>
  <c r="M53" i="1"/>
  <c r="O53" i="1" s="1"/>
  <c r="P53" i="1"/>
  <c r="Q53" i="1"/>
  <c r="Z53" i="1"/>
  <c r="M54" i="1"/>
  <c r="O54" i="1" s="1"/>
  <c r="P54" i="1"/>
  <c r="Q54" i="1"/>
  <c r="Z54" i="1"/>
  <c r="M57" i="1"/>
  <c r="O57" i="1" s="1"/>
  <c r="P57" i="1"/>
  <c r="Q57" i="1"/>
  <c r="Z57" i="1"/>
  <c r="M58" i="1"/>
  <c r="O58" i="1" s="1"/>
  <c r="P58" i="1"/>
  <c r="Q58" i="1"/>
  <c r="Z58" i="1"/>
  <c r="M59" i="1"/>
  <c r="O59" i="1" s="1"/>
  <c r="P59" i="1"/>
  <c r="Q59" i="1"/>
  <c r="Z59" i="1"/>
  <c r="M61" i="1"/>
  <c r="O61" i="1" s="1"/>
  <c r="P61" i="1"/>
  <c r="Q61" i="1"/>
  <c r="Z61" i="1"/>
  <c r="M63" i="1"/>
  <c r="O63" i="1" s="1"/>
  <c r="P63" i="1"/>
  <c r="Q63" i="1"/>
  <c r="Z63" i="1"/>
  <c r="M64" i="1"/>
  <c r="O64" i="1" s="1"/>
  <c r="P64" i="1"/>
  <c r="Q64" i="1"/>
  <c r="Z64" i="1"/>
  <c r="M65" i="1"/>
  <c r="O65" i="1" s="1"/>
  <c r="P65" i="1"/>
  <c r="Q65" i="1"/>
  <c r="Z65" i="1"/>
  <c r="M68" i="1"/>
  <c r="O68" i="1" s="1"/>
  <c r="P68" i="1"/>
  <c r="Q68" i="1"/>
  <c r="Z68" i="1"/>
  <c r="M69" i="1"/>
  <c r="O69" i="1" s="1"/>
  <c r="P69" i="1"/>
  <c r="Q69" i="1"/>
  <c r="Z69" i="1"/>
  <c r="M70" i="1"/>
  <c r="O70" i="1"/>
  <c r="P70" i="1"/>
  <c r="Q70" i="1"/>
  <c r="Z70" i="1"/>
  <c r="M71" i="1"/>
  <c r="O71" i="1" s="1"/>
  <c r="P71" i="1"/>
  <c r="Q71" i="1"/>
  <c r="Z71" i="1"/>
  <c r="M73" i="1"/>
  <c r="O73" i="1" s="1"/>
  <c r="P73" i="1"/>
  <c r="Q73" i="1"/>
  <c r="Z73" i="1"/>
  <c r="M74" i="1"/>
  <c r="O74" i="1" s="1"/>
  <c r="P74" i="1"/>
  <c r="Q74" i="1"/>
  <c r="Z74" i="1"/>
  <c r="M75" i="1"/>
  <c r="O75" i="1" s="1"/>
  <c r="P75" i="1"/>
  <c r="Q75" i="1"/>
  <c r="Z75" i="1"/>
  <c r="M76" i="1"/>
  <c r="O76" i="1" s="1"/>
  <c r="P76" i="1"/>
  <c r="Q76" i="1"/>
  <c r="Z76" i="1"/>
  <c r="M77" i="1"/>
  <c r="O77" i="1" s="1"/>
  <c r="P77" i="1"/>
  <c r="Q77" i="1"/>
  <c r="Z77" i="1"/>
  <c r="M79" i="1"/>
  <c r="O79" i="1" s="1"/>
  <c r="P79" i="1"/>
  <c r="Q79" i="1"/>
  <c r="Z79" i="1"/>
  <c r="M81" i="1"/>
  <c r="O81" i="1" s="1"/>
  <c r="P81" i="1"/>
  <c r="Q81" i="1"/>
  <c r="Z81" i="1"/>
  <c r="M84" i="1"/>
  <c r="O84" i="1" s="1"/>
  <c r="P84" i="1"/>
  <c r="Q84" i="1"/>
  <c r="Z84" i="1"/>
  <c r="M87" i="1"/>
  <c r="O87" i="1" s="1"/>
  <c r="Z87" i="1"/>
  <c r="M89" i="1"/>
  <c r="O89" i="1" s="1"/>
  <c r="P89" i="1"/>
  <c r="Q89" i="1"/>
  <c r="Z89" i="1"/>
  <c r="M90" i="1"/>
  <c r="O90" i="1" s="1"/>
  <c r="P90" i="1"/>
  <c r="Q90" i="1"/>
  <c r="Z90" i="1"/>
  <c r="M91" i="1"/>
  <c r="O91" i="1" s="1"/>
  <c r="P91" i="1"/>
  <c r="Q91" i="1"/>
  <c r="Z91" i="1"/>
  <c r="M92" i="1"/>
  <c r="O92" i="1" s="1"/>
  <c r="P92" i="1"/>
  <c r="Q92" i="1"/>
  <c r="Z92" i="1"/>
  <c r="M93" i="1"/>
  <c r="O93" i="1" s="1"/>
  <c r="P93" i="1"/>
  <c r="Q93" i="1"/>
  <c r="Z93" i="1"/>
  <c r="M94" i="1"/>
  <c r="O94" i="1" s="1"/>
  <c r="P94" i="1"/>
  <c r="Q94" i="1"/>
  <c r="Z94" i="1"/>
  <c r="M95" i="1"/>
  <c r="O95" i="1" s="1"/>
  <c r="P95" i="1"/>
  <c r="Q95" i="1"/>
  <c r="Z95" i="1"/>
  <c r="M97" i="1"/>
  <c r="O97" i="1" s="1"/>
  <c r="P97" i="1"/>
  <c r="Q97" i="1"/>
  <c r="Z97" i="1"/>
  <c r="M98" i="1"/>
  <c r="O98" i="1" s="1"/>
  <c r="P98" i="1"/>
  <c r="Q98" i="1"/>
  <c r="Z98" i="1"/>
  <c r="M99" i="1"/>
  <c r="O99" i="1" s="1"/>
  <c r="P99" i="1"/>
  <c r="Z99" i="1"/>
  <c r="M100" i="1"/>
  <c r="O100" i="1" s="1"/>
  <c r="Z100" i="1"/>
  <c r="M101" i="1"/>
  <c r="O101" i="1" s="1"/>
  <c r="P101" i="1"/>
  <c r="Q101" i="1"/>
  <c r="Z101" i="1"/>
  <c r="M102" i="1"/>
  <c r="O102" i="1" s="1"/>
  <c r="P102" i="1"/>
  <c r="Q102" i="1"/>
  <c r="Z102" i="1"/>
  <c r="M103" i="1"/>
  <c r="O103" i="1" s="1"/>
  <c r="P103" i="1"/>
  <c r="Q103" i="1"/>
  <c r="Z103" i="1"/>
  <c r="M105" i="1"/>
  <c r="O105" i="1" s="1"/>
  <c r="P105" i="1"/>
  <c r="Q105" i="1"/>
  <c r="Z105" i="1"/>
  <c r="M106" i="1"/>
  <c r="O106" i="1" s="1"/>
  <c r="P106" i="1"/>
  <c r="Q106" i="1"/>
  <c r="Z106" i="1"/>
  <c r="M107" i="1"/>
  <c r="O107" i="1" s="1"/>
  <c r="P107" i="1"/>
  <c r="Q107" i="1"/>
  <c r="Z107" i="1"/>
  <c r="M108" i="1"/>
  <c r="O108" i="1" s="1"/>
  <c r="P108" i="1"/>
  <c r="Q108" i="1"/>
  <c r="Z108" i="1"/>
  <c r="M112" i="1"/>
  <c r="O112" i="1" s="1"/>
  <c r="Z112" i="1"/>
  <c r="M113" i="1"/>
  <c r="O113" i="1" s="1"/>
  <c r="Z113" i="1"/>
  <c r="M115" i="1"/>
  <c r="O115" i="1" s="1"/>
  <c r="P115" i="1"/>
  <c r="Q115" i="1"/>
  <c r="Z115" i="1"/>
  <c r="M116" i="1"/>
  <c r="O116" i="1" s="1"/>
  <c r="P116" i="1"/>
  <c r="Q116" i="1"/>
  <c r="Z116" i="1"/>
  <c r="M117" i="1"/>
  <c r="O117" i="1" s="1"/>
  <c r="P117" i="1"/>
  <c r="Q117" i="1"/>
  <c r="Z117" i="1"/>
  <c r="M118" i="1"/>
  <c r="O118" i="1" s="1"/>
  <c r="P118" i="1"/>
  <c r="Q118" i="1"/>
  <c r="Z118" i="1"/>
  <c r="M120" i="1"/>
  <c r="O120" i="1" s="1"/>
  <c r="Z120" i="1"/>
  <c r="M122" i="1"/>
  <c r="O122" i="1" s="1"/>
  <c r="P122" i="1"/>
  <c r="Q122" i="1"/>
  <c r="Z122" i="1"/>
  <c r="M123" i="1"/>
  <c r="O123" i="1" s="1"/>
  <c r="P123" i="1"/>
  <c r="Q123" i="1"/>
  <c r="Z123" i="1"/>
  <c r="M126" i="1"/>
  <c r="O126" i="1" s="1"/>
  <c r="P126" i="1"/>
  <c r="Q126" i="1"/>
  <c r="Z126" i="1"/>
  <c r="M127" i="1"/>
  <c r="O127" i="1" s="1"/>
  <c r="P127" i="1"/>
  <c r="Q127" i="1"/>
  <c r="Z127" i="1"/>
  <c r="M129" i="1"/>
  <c r="O129" i="1" s="1"/>
  <c r="P129" i="1"/>
  <c r="Q129" i="1"/>
  <c r="Z129" i="1"/>
  <c r="M130" i="1"/>
  <c r="O130" i="1" s="1"/>
  <c r="P130" i="1"/>
  <c r="Q130" i="1"/>
  <c r="Z130" i="1"/>
  <c r="M132" i="1"/>
  <c r="O132" i="1" s="1"/>
  <c r="Z132" i="1"/>
  <c r="M133" i="1"/>
  <c r="O133" i="1" s="1"/>
  <c r="Z133" i="1"/>
  <c r="M135" i="1"/>
  <c r="O135" i="1" s="1"/>
  <c r="P135" i="1"/>
  <c r="Q135" i="1"/>
  <c r="Z135" i="1"/>
  <c r="M136" i="1"/>
  <c r="O136" i="1"/>
  <c r="P136" i="1"/>
  <c r="Q136" i="1"/>
  <c r="Z136" i="1"/>
  <c r="M137" i="1"/>
  <c r="O137" i="1" s="1"/>
  <c r="P137" i="1"/>
  <c r="Q137" i="1"/>
  <c r="Z137" i="1"/>
  <c r="M140" i="1"/>
  <c r="O140" i="1" s="1"/>
  <c r="P140" i="1"/>
  <c r="Q140" i="1"/>
  <c r="Z140" i="1"/>
  <c r="M141" i="1"/>
  <c r="O141" i="1" s="1"/>
  <c r="P141" i="1"/>
  <c r="Q141" i="1"/>
  <c r="Z141" i="1"/>
  <c r="M142" i="1"/>
  <c r="O142" i="1" s="1"/>
  <c r="P142" i="1"/>
  <c r="Q142" i="1"/>
  <c r="Z142" i="1"/>
  <c r="M143" i="1"/>
  <c r="O143" i="1" s="1"/>
  <c r="P143" i="1"/>
  <c r="Q143" i="1"/>
  <c r="Z143" i="1"/>
  <c r="M146" i="1"/>
  <c r="O146" i="1" s="1"/>
  <c r="Z146" i="1"/>
  <c r="M147" i="1"/>
  <c r="O147" i="1" s="1"/>
  <c r="P147" i="1"/>
  <c r="Q147" i="1"/>
  <c r="Z147" i="1"/>
  <c r="M148" i="1"/>
  <c r="O148" i="1" s="1"/>
  <c r="P148" i="1"/>
  <c r="Q148" i="1"/>
  <c r="Z148" i="1"/>
  <c r="M149" i="1"/>
  <c r="O149" i="1" s="1"/>
  <c r="Z149" i="1"/>
  <c r="M150" i="1"/>
  <c r="O150" i="1" s="1"/>
  <c r="P150" i="1"/>
  <c r="Q150" i="1"/>
  <c r="Z150" i="1"/>
  <c r="M151" i="1"/>
  <c r="O151" i="1" s="1"/>
  <c r="Z151" i="1"/>
  <c r="M153" i="1"/>
  <c r="O153" i="1" s="1"/>
  <c r="P153" i="1"/>
  <c r="Q153" i="1"/>
  <c r="Z153" i="1"/>
  <c r="M155" i="1"/>
  <c r="O155" i="1" s="1"/>
  <c r="Z155" i="1"/>
  <c r="M156" i="1"/>
  <c r="O156" i="1" s="1"/>
  <c r="Z156" i="1"/>
  <c r="M157" i="1"/>
  <c r="O157" i="1" s="1"/>
  <c r="Z157" i="1"/>
  <c r="M158" i="1"/>
  <c r="O158" i="1" s="1"/>
  <c r="Z158" i="1"/>
  <c r="M160" i="1"/>
  <c r="O160" i="1" s="1"/>
  <c r="P160" i="1"/>
  <c r="Q160" i="1"/>
  <c r="Z160" i="1"/>
  <c r="M161" i="1"/>
  <c r="O161" i="1" s="1"/>
  <c r="P161" i="1"/>
  <c r="Q161" i="1"/>
  <c r="Z161" i="1"/>
  <c r="M165" i="1"/>
  <c r="O165" i="1" s="1"/>
  <c r="P165" i="1"/>
  <c r="Q165" i="1"/>
  <c r="Z165" i="1"/>
  <c r="M166" i="1"/>
  <c r="O166" i="1" s="1"/>
  <c r="P166" i="1"/>
  <c r="Q166" i="1"/>
  <c r="Z166" i="1"/>
  <c r="M167" i="1"/>
  <c r="O167" i="1" s="1"/>
  <c r="P167" i="1"/>
  <c r="Q167" i="1"/>
  <c r="Z167" i="1"/>
  <c r="M169" i="1"/>
  <c r="O169" i="1" s="1"/>
  <c r="P169" i="1"/>
  <c r="Q169" i="1"/>
  <c r="Z169" i="1"/>
  <c r="M170" i="1"/>
  <c r="O170" i="1" s="1"/>
  <c r="P170" i="1"/>
  <c r="Q170" i="1"/>
  <c r="Z170" i="1"/>
  <c r="M171" i="1"/>
  <c r="O171" i="1" s="1"/>
  <c r="P171" i="1"/>
  <c r="Q171" i="1"/>
  <c r="Z171" i="1"/>
  <c r="M172" i="1"/>
  <c r="O172" i="1" s="1"/>
  <c r="P172" i="1"/>
  <c r="Q172" i="1"/>
  <c r="Z172" i="1"/>
  <c r="M174" i="1"/>
  <c r="O174" i="1" s="1"/>
  <c r="Z174" i="1"/>
  <c r="M175" i="1"/>
  <c r="O175" i="1" s="1"/>
  <c r="P175" i="1"/>
  <c r="Q175" i="1"/>
  <c r="Z175" i="1"/>
  <c r="M176" i="1"/>
  <c r="O176" i="1" s="1"/>
  <c r="P176" i="1"/>
  <c r="Q176" i="1"/>
  <c r="Z176" i="1"/>
  <c r="M177" i="1"/>
  <c r="O177" i="1" s="1"/>
  <c r="P177" i="1"/>
  <c r="Q177" i="1"/>
  <c r="Z177" i="1"/>
  <c r="M179" i="1"/>
  <c r="O179" i="1" s="1"/>
  <c r="Z179" i="1"/>
  <c r="M180" i="1"/>
  <c r="O180" i="1" s="1"/>
  <c r="Z180" i="1"/>
  <c r="M181" i="1"/>
  <c r="O181" i="1" s="1"/>
  <c r="Z181" i="1"/>
  <c r="M182" i="1"/>
  <c r="O182" i="1" s="1"/>
  <c r="Z182" i="1"/>
  <c r="M184" i="1"/>
  <c r="O184" i="1" s="1"/>
  <c r="Z184" i="1"/>
  <c r="M185" i="1"/>
  <c r="O185" i="1"/>
  <c r="P185" i="1"/>
  <c r="Q185" i="1"/>
  <c r="Z185" i="1"/>
  <c r="M186" i="1"/>
  <c r="O186" i="1" s="1"/>
  <c r="Z186" i="1"/>
  <c r="M187" i="1"/>
  <c r="O187" i="1" s="1"/>
  <c r="Z187" i="1"/>
  <c r="M189" i="1"/>
  <c r="O189" i="1" s="1"/>
  <c r="P189" i="1"/>
  <c r="Q189" i="1"/>
  <c r="Z189" i="1"/>
  <c r="M190" i="1"/>
  <c r="O190" i="1" s="1"/>
  <c r="P190" i="1"/>
  <c r="Q190" i="1"/>
  <c r="Z190" i="1"/>
  <c r="M191" i="1"/>
  <c r="O191" i="1" s="1"/>
  <c r="P191" i="1"/>
  <c r="Q191" i="1"/>
  <c r="Z191" i="1"/>
  <c r="M192" i="1"/>
  <c r="O192" i="1" s="1"/>
  <c r="P192" i="1"/>
  <c r="Q192" i="1"/>
  <c r="Z192" i="1"/>
  <c r="M194" i="1"/>
  <c r="O194" i="1" s="1"/>
  <c r="Z194" i="1"/>
  <c r="M196" i="1"/>
  <c r="O196" i="1" s="1"/>
  <c r="P196" i="1"/>
  <c r="Q196" i="1"/>
  <c r="Z196" i="1"/>
  <c r="M197" i="1"/>
  <c r="O197" i="1" s="1"/>
  <c r="P197" i="1"/>
  <c r="Q197" i="1"/>
  <c r="Z197" i="1"/>
  <c r="M198" i="1"/>
  <c r="O198" i="1" s="1"/>
  <c r="Z198" i="1"/>
  <c r="M203" i="1"/>
  <c r="O203" i="1" s="1"/>
  <c r="P203" i="1"/>
  <c r="Q203" i="1"/>
  <c r="Z203" i="1"/>
  <c r="M205" i="1"/>
  <c r="O205" i="1" s="1"/>
  <c r="P205" i="1"/>
  <c r="Q205" i="1"/>
  <c r="Z205" i="1"/>
  <c r="M206" i="1"/>
  <c r="O206" i="1" s="1"/>
  <c r="P206" i="1"/>
  <c r="Q206" i="1"/>
  <c r="Z206" i="1"/>
  <c r="M207" i="1"/>
  <c r="O207" i="1" s="1"/>
  <c r="P207" i="1"/>
  <c r="Q207" i="1"/>
  <c r="Z207" i="1"/>
  <c r="M209" i="1"/>
  <c r="O209" i="1" s="1"/>
  <c r="P209" i="1"/>
  <c r="Q209" i="1"/>
  <c r="Z209" i="1"/>
  <c r="M211" i="1"/>
  <c r="O211" i="1" s="1"/>
  <c r="P211" i="1"/>
  <c r="Q211" i="1"/>
  <c r="Z211" i="1"/>
  <c r="M213" i="1"/>
  <c r="O213" i="1" s="1"/>
  <c r="P213" i="1"/>
  <c r="Q213" i="1"/>
  <c r="Z213" i="1"/>
  <c r="M214" i="1"/>
  <c r="O214" i="1" s="1"/>
  <c r="P214" i="1"/>
  <c r="Q214" i="1"/>
  <c r="Z214" i="1"/>
  <c r="M215" i="1"/>
  <c r="O215" i="1" s="1"/>
  <c r="P215" i="1"/>
  <c r="Q215" i="1"/>
  <c r="Z215" i="1"/>
  <c r="M216" i="1"/>
  <c r="O216" i="1" s="1"/>
  <c r="P216" i="1"/>
  <c r="Q216" i="1"/>
  <c r="Z216" i="1"/>
  <c r="M218" i="1"/>
  <c r="O218" i="1" s="1"/>
  <c r="P218" i="1"/>
  <c r="Q218" i="1"/>
  <c r="Z218" i="1"/>
  <c r="M219" i="1"/>
  <c r="O219" i="1" s="1"/>
  <c r="P219" i="1"/>
  <c r="Q219" i="1"/>
  <c r="Z219" i="1"/>
  <c r="M220" i="1"/>
  <c r="O220" i="1" s="1"/>
  <c r="P220" i="1"/>
  <c r="Q220" i="1"/>
  <c r="Z220" i="1"/>
  <c r="M221" i="1"/>
  <c r="O221" i="1" s="1"/>
  <c r="P221" i="1"/>
  <c r="Q221" i="1"/>
  <c r="Z221" i="1"/>
  <c r="M223" i="1"/>
  <c r="O223" i="1" s="1"/>
  <c r="P223" i="1"/>
  <c r="Q223" i="1"/>
  <c r="Z223" i="1"/>
  <c r="M226" i="1"/>
  <c r="O226" i="1" s="1"/>
  <c r="Z226" i="1"/>
  <c r="M227" i="1"/>
  <c r="O227" i="1" s="1"/>
  <c r="Z227" i="1"/>
  <c r="M228" i="1"/>
  <c r="O228" i="1" s="1"/>
  <c r="P228" i="1"/>
  <c r="Q228" i="1"/>
  <c r="Z228" i="1"/>
  <c r="M229" i="1"/>
  <c r="O229" i="1" s="1"/>
  <c r="P229" i="1"/>
  <c r="Q229" i="1"/>
  <c r="Z229" i="1"/>
  <c r="M231" i="1"/>
  <c r="O231" i="1" s="1"/>
  <c r="P231" i="1"/>
  <c r="Q231" i="1"/>
  <c r="M232" i="1"/>
  <c r="O232" i="1" s="1"/>
  <c r="P232" i="1"/>
  <c r="Q232" i="1"/>
  <c r="M233" i="1"/>
  <c r="O233" i="1" s="1"/>
  <c r="P233" i="1"/>
  <c r="Q233" i="1"/>
  <c r="M235" i="1"/>
  <c r="O235" i="1" s="1"/>
  <c r="Z235" i="1"/>
  <c r="M236" i="1"/>
  <c r="O236" i="1" s="1"/>
  <c r="P236" i="1"/>
  <c r="Q236" i="1"/>
  <c r="Z236" i="1"/>
  <c r="M237" i="1"/>
  <c r="O237" i="1" s="1"/>
  <c r="Z237" i="1"/>
  <c r="M238" i="1"/>
  <c r="O238" i="1" s="1"/>
  <c r="Z238" i="1"/>
  <c r="M240" i="1"/>
  <c r="O240" i="1" s="1"/>
  <c r="P240" i="1"/>
  <c r="Q240" i="1"/>
  <c r="Z240" i="1"/>
  <c r="M241" i="1"/>
  <c r="O241" i="1" s="1"/>
  <c r="P241" i="1"/>
  <c r="Q241" i="1"/>
  <c r="Z241" i="1"/>
  <c r="M242" i="1"/>
  <c r="O242" i="1" s="1"/>
  <c r="P242" i="1"/>
  <c r="Q242" i="1"/>
  <c r="Z242" i="1"/>
  <c r="M243" i="1"/>
  <c r="O243" i="1" s="1"/>
  <c r="P243" i="1"/>
  <c r="Q243" i="1"/>
  <c r="Z243" i="1"/>
  <c r="M245" i="1"/>
  <c r="O245" i="1" s="1"/>
  <c r="P245" i="1"/>
  <c r="Q245" i="1"/>
  <c r="Z245" i="1"/>
  <c r="M246" i="1"/>
  <c r="O246" i="1" s="1"/>
  <c r="P246" i="1"/>
  <c r="Q246" i="1"/>
  <c r="Z246" i="1"/>
  <c r="M247" i="1"/>
  <c r="O247" i="1" s="1"/>
  <c r="P247" i="1"/>
  <c r="Q247" i="1"/>
  <c r="Z247" i="1"/>
  <c r="M248" i="1"/>
  <c r="O248" i="1" s="1"/>
  <c r="P248" i="1"/>
  <c r="Q248" i="1"/>
  <c r="Z248" i="1"/>
  <c r="M250" i="1"/>
  <c r="O250" i="1" s="1"/>
  <c r="P250" i="1"/>
  <c r="Q250" i="1"/>
  <c r="Z250" i="1"/>
  <c r="M251" i="1"/>
  <c r="O251" i="1" s="1"/>
  <c r="P251" i="1"/>
  <c r="Q251" i="1"/>
  <c r="Z251" i="1"/>
  <c r="M252" i="1"/>
  <c r="O252" i="1" s="1"/>
  <c r="P252" i="1"/>
  <c r="Q252" i="1"/>
  <c r="Z252" i="1"/>
  <c r="M253" i="1"/>
  <c r="O253" i="1" s="1"/>
  <c r="P253" i="1"/>
  <c r="Q253" i="1"/>
  <c r="Z253" i="1"/>
  <c r="M255" i="1"/>
  <c r="O255" i="1" s="1"/>
  <c r="Z255" i="1"/>
  <c r="M256" i="1"/>
  <c r="O256" i="1" s="1"/>
  <c r="Z256" i="1"/>
  <c r="M257" i="1"/>
  <c r="O257" i="1" s="1"/>
  <c r="Z257" i="1"/>
  <c r="M258" i="1"/>
  <c r="O258" i="1" s="1"/>
  <c r="P258" i="1"/>
  <c r="Q258" i="1"/>
  <c r="Z258" i="1"/>
  <c r="M260" i="1"/>
  <c r="O260" i="1" s="1"/>
  <c r="P260" i="1"/>
  <c r="Q260" i="1"/>
  <c r="Z260" i="1"/>
  <c r="M261" i="1"/>
  <c r="O261" i="1" s="1"/>
  <c r="P261" i="1"/>
  <c r="Q261" i="1"/>
  <c r="Z261" i="1"/>
  <c r="M262" i="1"/>
  <c r="O262" i="1" s="1"/>
  <c r="P262" i="1"/>
  <c r="Q262" i="1"/>
  <c r="Z262" i="1"/>
  <c r="M263" i="1"/>
  <c r="O263" i="1" s="1"/>
  <c r="P263" i="1"/>
  <c r="Q263" i="1"/>
  <c r="Z263" i="1"/>
  <c r="M265" i="1"/>
  <c r="O265" i="1" s="1"/>
  <c r="P265" i="1"/>
  <c r="Q265" i="1"/>
  <c r="Z265" i="1"/>
  <c r="M266" i="1"/>
  <c r="O266" i="1" s="1"/>
  <c r="P266" i="1"/>
  <c r="Q266" i="1"/>
  <c r="Z266" i="1"/>
  <c r="M267" i="1"/>
  <c r="O267" i="1" s="1"/>
  <c r="P267" i="1"/>
  <c r="Q267" i="1"/>
  <c r="Z267" i="1"/>
  <c r="M268" i="1"/>
  <c r="O268" i="1" s="1"/>
  <c r="P268" i="1"/>
  <c r="Q268" i="1"/>
  <c r="Z268" i="1"/>
  <c r="M270" i="1"/>
  <c r="O270" i="1" s="1"/>
  <c r="P270" i="1"/>
  <c r="Q270" i="1"/>
  <c r="Z270" i="1"/>
  <c r="M271" i="1"/>
  <c r="O271" i="1" s="1"/>
  <c r="P271" i="1"/>
  <c r="Q271" i="1"/>
  <c r="Z271" i="1"/>
  <c r="M272" i="1"/>
  <c r="O272" i="1" s="1"/>
  <c r="P272" i="1"/>
  <c r="Q272" i="1"/>
  <c r="Z272" i="1"/>
  <c r="M273" i="1"/>
  <c r="O273" i="1" s="1"/>
  <c r="P273" i="1"/>
  <c r="Q273" i="1"/>
  <c r="Z273" i="1"/>
  <c r="M275" i="1"/>
  <c r="O275" i="1" s="1"/>
  <c r="Z275" i="1"/>
  <c r="M276" i="1"/>
  <c r="O276" i="1" s="1"/>
  <c r="Z276" i="1"/>
  <c r="M278" i="1"/>
  <c r="O278" i="1" s="1"/>
  <c r="P278" i="1"/>
  <c r="Q278" i="1"/>
  <c r="Z278" i="1"/>
  <c r="M279" i="1"/>
  <c r="O279" i="1" s="1"/>
  <c r="Z279" i="1"/>
  <c r="M280" i="1"/>
  <c r="O280" i="1" s="1"/>
  <c r="Z280" i="1"/>
  <c r="M281" i="1"/>
  <c r="O281" i="1" s="1"/>
  <c r="Z281" i="1"/>
  <c r="M283" i="1"/>
  <c r="O283" i="1" s="1"/>
  <c r="P283" i="1"/>
  <c r="Q283" i="1"/>
  <c r="Z283" i="1"/>
  <c r="M284" i="1"/>
  <c r="O284" i="1" s="1"/>
  <c r="P284" i="1"/>
  <c r="Q284" i="1"/>
  <c r="Z284" i="1"/>
  <c r="M285" i="1"/>
  <c r="O285" i="1" s="1"/>
  <c r="P285" i="1"/>
  <c r="Q285" i="1"/>
  <c r="Z285" i="1"/>
  <c r="M287" i="1"/>
  <c r="O287" i="1" s="1"/>
  <c r="P287" i="1"/>
  <c r="Q287" i="1"/>
  <c r="Z287" i="1"/>
  <c r="M288" i="1"/>
  <c r="O288" i="1" s="1"/>
  <c r="P288" i="1"/>
  <c r="Q288" i="1"/>
  <c r="Z288" i="1"/>
  <c r="M289" i="1"/>
  <c r="O289" i="1" s="1"/>
  <c r="P289" i="1"/>
  <c r="Q289" i="1"/>
  <c r="Z289" i="1"/>
  <c r="M291" i="1"/>
  <c r="O291" i="1" s="1"/>
  <c r="P291" i="1"/>
  <c r="Q291" i="1"/>
  <c r="Z291" i="1"/>
  <c r="M292" i="1"/>
  <c r="O292" i="1" s="1"/>
  <c r="P292" i="1"/>
  <c r="Q292" i="1"/>
  <c r="Z292" i="1"/>
  <c r="M293" i="1"/>
  <c r="O293" i="1" s="1"/>
  <c r="P293" i="1"/>
  <c r="Q293" i="1"/>
  <c r="Z293" i="1"/>
  <c r="M295" i="1"/>
  <c r="O295" i="1" s="1"/>
  <c r="P295" i="1"/>
  <c r="Q295" i="1"/>
  <c r="Z295" i="1"/>
  <c r="M296" i="1"/>
  <c r="O296" i="1" s="1"/>
  <c r="P296" i="1"/>
  <c r="Q296" i="1"/>
  <c r="Z296" i="1"/>
  <c r="M297" i="1"/>
  <c r="O297" i="1" s="1"/>
  <c r="P297" i="1"/>
  <c r="Q297" i="1"/>
  <c r="Z297" i="1"/>
  <c r="M298" i="1"/>
  <c r="O298" i="1" s="1"/>
  <c r="P298" i="1"/>
  <c r="Q298" i="1"/>
  <c r="Z298" i="1"/>
  <c r="M300" i="1"/>
  <c r="O300" i="1" s="1"/>
  <c r="Z300" i="1"/>
  <c r="M303" i="1"/>
  <c r="O303" i="1" s="1"/>
  <c r="P303" i="1"/>
  <c r="Q303" i="1"/>
  <c r="Z303" i="1"/>
  <c r="M305" i="1"/>
  <c r="O305" i="1" s="1"/>
  <c r="P305" i="1"/>
  <c r="Q305" i="1"/>
  <c r="Z305" i="1"/>
  <c r="M306" i="1"/>
  <c r="O306" i="1" s="1"/>
  <c r="P306" i="1"/>
  <c r="Q306" i="1"/>
  <c r="Z306" i="1"/>
  <c r="M307" i="1"/>
  <c r="O307" i="1" s="1"/>
  <c r="P307" i="1"/>
  <c r="Q307" i="1"/>
  <c r="Z307" i="1"/>
  <c r="M308" i="1"/>
  <c r="O308" i="1" s="1"/>
  <c r="P308" i="1"/>
  <c r="Q308" i="1"/>
  <c r="Z308" i="1"/>
  <c r="M310" i="1"/>
  <c r="O310" i="1" s="1"/>
  <c r="P310" i="1"/>
  <c r="Q310" i="1"/>
  <c r="Z310" i="1"/>
  <c r="M311" i="1"/>
  <c r="O311" i="1" s="1"/>
  <c r="P311" i="1"/>
  <c r="Q311" i="1"/>
  <c r="Z311" i="1"/>
  <c r="M312" i="1"/>
  <c r="O312" i="1" s="1"/>
  <c r="P312" i="1"/>
  <c r="Q312" i="1"/>
  <c r="Z312" i="1"/>
  <c r="M313" i="1"/>
  <c r="O313" i="1" s="1"/>
  <c r="P313" i="1"/>
  <c r="Q313" i="1"/>
  <c r="Z313" i="1"/>
  <c r="M315" i="1"/>
  <c r="O315" i="1" s="1"/>
  <c r="Z315" i="1"/>
  <c r="M316" i="1"/>
  <c r="O316" i="1" s="1"/>
  <c r="Z316" i="1"/>
  <c r="M317" i="1"/>
  <c r="O317" i="1" s="1"/>
  <c r="Z317" i="1"/>
  <c r="M318" i="1"/>
  <c r="O318" i="1" s="1"/>
  <c r="Z318" i="1"/>
  <c r="M320" i="1"/>
  <c r="O320" i="1" s="1"/>
  <c r="Z320" i="1"/>
  <c r="M321" i="1"/>
  <c r="O321" i="1" s="1"/>
  <c r="Z321" i="1"/>
  <c r="M322" i="1"/>
  <c r="O322" i="1" s="1"/>
  <c r="Z322" i="1"/>
  <c r="M323" i="1"/>
  <c r="O323" i="1" s="1"/>
  <c r="Z323" i="1"/>
  <c r="M325" i="1"/>
  <c r="O325" i="1" s="1"/>
  <c r="P325" i="1"/>
  <c r="Q325" i="1"/>
  <c r="Z325" i="1"/>
  <c r="M327" i="1"/>
  <c r="O327" i="1" s="1"/>
  <c r="Z327" i="1"/>
  <c r="M328" i="1"/>
  <c r="O328" i="1" s="1"/>
  <c r="Z328" i="1"/>
  <c r="M330" i="1"/>
  <c r="O330" i="1" s="1"/>
  <c r="P330" i="1"/>
  <c r="Q330" i="1"/>
  <c r="Z330" i="1"/>
  <c r="M331" i="1"/>
  <c r="O331" i="1" s="1"/>
  <c r="P331" i="1"/>
  <c r="Q331" i="1"/>
  <c r="Z331" i="1"/>
  <c r="M332" i="1"/>
  <c r="O332" i="1" s="1"/>
  <c r="P332" i="1"/>
  <c r="Q332" i="1"/>
  <c r="Z332" i="1"/>
  <c r="M333" i="1"/>
  <c r="O333" i="1" s="1"/>
  <c r="P333" i="1"/>
  <c r="Q333" i="1"/>
  <c r="Z333" i="1"/>
  <c r="M336" i="1"/>
  <c r="O336" i="1" s="1"/>
  <c r="P336" i="1"/>
  <c r="Q336" i="1"/>
  <c r="Z336" i="1"/>
  <c r="M337" i="1"/>
  <c r="O337" i="1" s="1"/>
  <c r="Z337" i="1"/>
  <c r="M341" i="1"/>
  <c r="O341" i="1" s="1"/>
  <c r="Z341" i="1"/>
  <c r="M342" i="1"/>
  <c r="O342" i="1" s="1"/>
  <c r="Z342" i="1"/>
  <c r="M343" i="1"/>
  <c r="O343" i="1" s="1"/>
  <c r="P343" i="1"/>
  <c r="Q343" i="1"/>
  <c r="Z343" i="1"/>
  <c r="M345" i="1"/>
  <c r="O345" i="1" s="1"/>
  <c r="P345" i="1"/>
  <c r="Q345" i="1"/>
  <c r="Z345" i="1"/>
  <c r="M346" i="1"/>
  <c r="O346" i="1"/>
  <c r="P346" i="1"/>
  <c r="Q346" i="1"/>
  <c r="Z346" i="1"/>
  <c r="M347" i="1"/>
  <c r="O347" i="1" s="1"/>
  <c r="P347" i="1"/>
  <c r="Q347" i="1"/>
  <c r="Z347" i="1"/>
  <c r="M348" i="1"/>
  <c r="O348" i="1" s="1"/>
  <c r="P348" i="1"/>
  <c r="Q348" i="1"/>
  <c r="Z348" i="1"/>
  <c r="M350" i="1"/>
  <c r="O350" i="1" s="1"/>
  <c r="Z350" i="1"/>
  <c r="M351" i="1"/>
  <c r="O351" i="1" s="1"/>
  <c r="P351" i="1"/>
  <c r="Q351" i="1"/>
  <c r="Z351" i="1"/>
  <c r="M353" i="1"/>
  <c r="O353" i="1" s="1"/>
  <c r="Z353" i="1"/>
  <c r="M355" i="1"/>
  <c r="O355" i="1" s="1"/>
  <c r="P355" i="1"/>
  <c r="Q355" i="1"/>
  <c r="Z355" i="1"/>
  <c r="M356" i="1"/>
  <c r="O356" i="1" s="1"/>
  <c r="P356" i="1"/>
  <c r="Q356" i="1"/>
  <c r="Z356" i="1"/>
  <c r="M357" i="1"/>
  <c r="O357" i="1" s="1"/>
  <c r="P357" i="1"/>
  <c r="Q357" i="1"/>
  <c r="Z357" i="1"/>
  <c r="M358" i="1"/>
  <c r="O358" i="1" s="1"/>
  <c r="P358" i="1"/>
  <c r="Q358" i="1"/>
  <c r="Z358" i="1"/>
  <c r="M360" i="1"/>
  <c r="O360" i="1" s="1"/>
  <c r="P360" i="1"/>
  <c r="Q360" i="1"/>
  <c r="Z360" i="1"/>
  <c r="M361" i="1"/>
  <c r="O361" i="1" s="1"/>
  <c r="P361" i="1"/>
  <c r="Q361" i="1"/>
  <c r="Z361" i="1"/>
  <c r="M362" i="1"/>
  <c r="O362" i="1" s="1"/>
  <c r="P362" i="1"/>
  <c r="Q362" i="1"/>
  <c r="Z362" i="1"/>
  <c r="M364" i="1"/>
  <c r="O364" i="1" s="1"/>
  <c r="P364" i="1"/>
  <c r="Q364" i="1"/>
  <c r="Z364" i="1"/>
  <c r="M365" i="1"/>
  <c r="O365" i="1" s="1"/>
  <c r="P365" i="1"/>
  <c r="Q365" i="1"/>
  <c r="Z365" i="1"/>
  <c r="M367" i="1"/>
  <c r="O367" i="1" s="1"/>
  <c r="Z367" i="1"/>
  <c r="M369" i="1"/>
  <c r="O369" i="1" s="1"/>
  <c r="Z369" i="1"/>
  <c r="M370" i="1"/>
  <c r="O370" i="1" s="1"/>
  <c r="Z370" i="1"/>
  <c r="M371" i="1"/>
  <c r="O371" i="1" s="1"/>
  <c r="Z371" i="1"/>
  <c r="M373" i="1"/>
  <c r="O373" i="1" s="1"/>
  <c r="Z373" i="1"/>
  <c r="M374" i="1"/>
  <c r="O374" i="1" s="1"/>
  <c r="Z374" i="1"/>
  <c r="M375" i="1"/>
  <c r="O375" i="1" s="1"/>
  <c r="Z375" i="1"/>
  <c r="M377" i="1"/>
  <c r="O377" i="1" s="1"/>
  <c r="Z377" i="1"/>
  <c r="M378" i="1"/>
  <c r="O378" i="1" s="1"/>
  <c r="Z378" i="1"/>
  <c r="M379" i="1"/>
  <c r="O379" i="1" s="1"/>
  <c r="Z379" i="1"/>
  <c r="M380" i="1"/>
  <c r="O380" i="1" s="1"/>
  <c r="Z380" i="1"/>
  <c r="M381" i="1"/>
  <c r="O381" i="1" s="1"/>
  <c r="Z381" i="1"/>
  <c r="M382" i="1"/>
  <c r="O382" i="1" s="1"/>
  <c r="Z382" i="1"/>
  <c r="M383" i="1"/>
  <c r="O383" i="1" s="1"/>
  <c r="Z383" i="1"/>
  <c r="M384" i="1"/>
  <c r="O384" i="1" s="1"/>
  <c r="P384" i="1"/>
  <c r="Z384" i="1"/>
  <c r="M385" i="1"/>
  <c r="O385" i="1" s="1"/>
  <c r="Z385" i="1"/>
  <c r="M386" i="1"/>
  <c r="O386" i="1" s="1"/>
  <c r="P386" i="1"/>
  <c r="Q386" i="1"/>
  <c r="Z386" i="1"/>
  <c r="M387" i="1"/>
  <c r="O387" i="1" s="1"/>
  <c r="Z387" i="1"/>
  <c r="M388" i="1"/>
  <c r="O388" i="1" s="1"/>
  <c r="P388" i="1"/>
  <c r="Q388" i="1"/>
  <c r="Z388" i="1"/>
  <c r="M390" i="1"/>
  <c r="O390" i="1" s="1"/>
  <c r="P390" i="1"/>
  <c r="Q390" i="1"/>
  <c r="Z390" i="1"/>
  <c r="M391" i="1"/>
  <c r="O391" i="1" s="1"/>
  <c r="P391" i="1"/>
  <c r="Q391" i="1"/>
  <c r="Z391" i="1"/>
  <c r="M393" i="1"/>
  <c r="O393" i="1" s="1"/>
  <c r="Z393" i="1"/>
  <c r="M394" i="1"/>
  <c r="O394" i="1" s="1"/>
  <c r="Z394" i="1"/>
  <c r="M395" i="1"/>
  <c r="O395" i="1" s="1"/>
  <c r="Z395" i="1"/>
  <c r="M397" i="1"/>
  <c r="O397" i="1" s="1"/>
  <c r="P397" i="1"/>
  <c r="Q397" i="1"/>
  <c r="Z397" i="1"/>
  <c r="M398" i="1"/>
  <c r="O398" i="1"/>
  <c r="P398" i="1"/>
  <c r="Q398" i="1"/>
  <c r="Z398" i="1"/>
  <c r="M399" i="1"/>
  <c r="O399" i="1" s="1"/>
  <c r="Z399" i="1"/>
  <c r="M401" i="1"/>
  <c r="O401" i="1" s="1"/>
  <c r="P401" i="1"/>
  <c r="Q401" i="1"/>
  <c r="Z401" i="1"/>
  <c r="M402" i="1"/>
  <c r="O402" i="1" s="1"/>
  <c r="P402" i="1"/>
  <c r="Q402" i="1"/>
  <c r="Z402" i="1"/>
  <c r="M403" i="1"/>
  <c r="O403" i="1" s="1"/>
  <c r="P403" i="1"/>
  <c r="Q403" i="1"/>
  <c r="Z403" i="1"/>
  <c r="M404" i="1"/>
  <c r="O404" i="1" s="1"/>
  <c r="P404" i="1"/>
  <c r="Q404" i="1"/>
  <c r="Z404" i="1"/>
  <c r="M406" i="1"/>
  <c r="O406" i="1" s="1"/>
  <c r="P406" i="1"/>
  <c r="Q406" i="1"/>
  <c r="Z406" i="1"/>
  <c r="M407" i="1"/>
  <c r="O407" i="1" s="1"/>
  <c r="Z407" i="1"/>
  <c r="M408" i="1"/>
  <c r="O408" i="1" s="1"/>
  <c r="Z408" i="1"/>
  <c r="M409" i="1"/>
  <c r="O409" i="1" s="1"/>
  <c r="Z409" i="1"/>
  <c r="M411" i="1"/>
  <c r="O411" i="1" s="1"/>
  <c r="P411" i="1"/>
  <c r="Q411" i="1"/>
  <c r="Z411" i="1"/>
  <c r="M412" i="1"/>
  <c r="O412" i="1" s="1"/>
  <c r="Z412" i="1"/>
  <c r="M413" i="1"/>
  <c r="O413" i="1" s="1"/>
  <c r="P413" i="1"/>
  <c r="Q413" i="1"/>
  <c r="Z413" i="1"/>
  <c r="M414" i="1"/>
  <c r="O414" i="1" s="1"/>
  <c r="P414" i="1"/>
  <c r="Q414" i="1"/>
  <c r="Z414" i="1"/>
  <c r="M415" i="1"/>
  <c r="O415" i="1" s="1"/>
  <c r="P415" i="1"/>
  <c r="Q415" i="1"/>
  <c r="Z415" i="1"/>
  <c r="M417" i="1"/>
  <c r="O417" i="1" s="1"/>
  <c r="Z417" i="1"/>
  <c r="M418" i="1"/>
  <c r="O418" i="1" s="1"/>
  <c r="Z418" i="1"/>
  <c r="M419" i="1"/>
  <c r="O419" i="1" s="1"/>
  <c r="Z419" i="1"/>
  <c r="M421" i="1"/>
  <c r="O421" i="1" s="1"/>
  <c r="P421" i="1"/>
  <c r="Q421" i="1"/>
  <c r="Z421" i="1"/>
  <c r="M422" i="1"/>
  <c r="O422" i="1" s="1"/>
  <c r="P422" i="1"/>
  <c r="Q422" i="1"/>
  <c r="Z422" i="1"/>
  <c r="M423" i="1"/>
  <c r="O423" i="1" s="1"/>
  <c r="P423" i="1"/>
  <c r="Q423" i="1"/>
  <c r="Z423" i="1"/>
  <c r="M424" i="1"/>
  <c r="O424" i="1" s="1"/>
  <c r="P424" i="1"/>
  <c r="Q424" i="1"/>
  <c r="Z424" i="1"/>
  <c r="M425" i="1"/>
  <c r="O425" i="1" s="1"/>
  <c r="P425" i="1"/>
  <c r="Q425" i="1"/>
  <c r="Z425" i="1"/>
  <c r="M426" i="1"/>
  <c r="O426" i="1" s="1"/>
  <c r="P426" i="1"/>
  <c r="Q426" i="1"/>
  <c r="Z426" i="1"/>
  <c r="M427" i="1"/>
  <c r="O427" i="1" s="1"/>
  <c r="P427" i="1"/>
  <c r="Q427" i="1"/>
  <c r="Z427" i="1"/>
  <c r="M428" i="1"/>
  <c r="O428" i="1" s="1"/>
  <c r="Z428" i="1"/>
  <c r="M429" i="1"/>
  <c r="O429" i="1" s="1"/>
  <c r="P429" i="1"/>
  <c r="Q429" i="1"/>
  <c r="Z429" i="1"/>
  <c r="M430" i="1"/>
  <c r="O430" i="1" s="1"/>
  <c r="P430" i="1"/>
  <c r="Q430" i="1"/>
  <c r="Z430" i="1"/>
  <c r="M431" i="1"/>
  <c r="O431" i="1" s="1"/>
  <c r="P431" i="1"/>
  <c r="Q431" i="1"/>
  <c r="Z431" i="1"/>
  <c r="M432" i="1"/>
  <c r="O432" i="1" s="1"/>
  <c r="P432" i="1"/>
  <c r="Q432" i="1"/>
  <c r="Z432" i="1"/>
  <c r="M433" i="1"/>
  <c r="O433" i="1" s="1"/>
  <c r="P433" i="1"/>
  <c r="Q433" i="1"/>
  <c r="Z433" i="1"/>
  <c r="M434" i="1"/>
  <c r="O434" i="1" s="1"/>
  <c r="P434" i="1"/>
  <c r="Q434" i="1"/>
  <c r="Z434" i="1"/>
  <c r="M436" i="1"/>
  <c r="O436" i="1" s="1"/>
  <c r="P436" i="1"/>
  <c r="Q436" i="1"/>
  <c r="Z436" i="1"/>
  <c r="M437" i="1"/>
  <c r="O437" i="1" s="1"/>
  <c r="P437" i="1"/>
  <c r="Q437" i="1"/>
  <c r="Z437" i="1"/>
  <c r="M438" i="1"/>
  <c r="O438" i="1" s="1"/>
  <c r="P438" i="1"/>
  <c r="Q438" i="1"/>
  <c r="Z438" i="1"/>
  <c r="M439" i="1"/>
  <c r="O439" i="1"/>
  <c r="P439" i="1"/>
  <c r="Q439" i="1"/>
  <c r="Z439" i="1"/>
  <c r="M440" i="1"/>
  <c r="O440" i="1" s="1"/>
  <c r="P440" i="1"/>
  <c r="Q440" i="1"/>
  <c r="Z440" i="1"/>
  <c r="M441" i="1"/>
  <c r="O441" i="1" s="1"/>
  <c r="P441" i="1"/>
  <c r="Q441" i="1"/>
  <c r="Z441" i="1"/>
  <c r="M442" i="1"/>
  <c r="O442" i="1" s="1"/>
  <c r="P442" i="1"/>
  <c r="Q442" i="1"/>
  <c r="Z442" i="1"/>
  <c r="M443" i="1"/>
  <c r="O443" i="1" s="1"/>
  <c r="P443" i="1"/>
  <c r="Q443" i="1"/>
  <c r="Z443" i="1"/>
  <c r="M444" i="1"/>
  <c r="O444" i="1" s="1"/>
  <c r="P444" i="1"/>
  <c r="Q444" i="1"/>
  <c r="Z444" i="1"/>
  <c r="M446" i="1"/>
  <c r="O446" i="1" s="1"/>
  <c r="P446" i="1"/>
  <c r="Q446" i="1"/>
  <c r="Z446" i="1"/>
  <c r="M447" i="1"/>
  <c r="O447" i="1" s="1"/>
  <c r="P447" i="1"/>
  <c r="Q447" i="1"/>
  <c r="Z447" i="1"/>
  <c r="M448" i="1"/>
  <c r="O448" i="1" s="1"/>
  <c r="P448" i="1"/>
  <c r="Q448" i="1"/>
  <c r="Z448" i="1"/>
  <c r="M449" i="1"/>
  <c r="O449" i="1" s="1"/>
  <c r="P449" i="1"/>
  <c r="Q449" i="1"/>
  <c r="Z449" i="1"/>
  <c r="M450" i="1"/>
  <c r="O450" i="1" s="1"/>
  <c r="P450" i="1"/>
  <c r="Q450" i="1"/>
  <c r="Z450" i="1"/>
  <c r="M451" i="1"/>
  <c r="O451" i="1" s="1"/>
  <c r="P451" i="1"/>
  <c r="Q451" i="1"/>
  <c r="Z451" i="1"/>
  <c r="M452" i="1"/>
  <c r="O452" i="1" s="1"/>
  <c r="P452" i="1"/>
  <c r="Q452" i="1"/>
  <c r="Z452" i="1"/>
  <c r="M453" i="1"/>
  <c r="O453" i="1" s="1"/>
  <c r="P453" i="1"/>
  <c r="Q453" i="1"/>
  <c r="Z453" i="1"/>
  <c r="M455" i="1"/>
  <c r="O455" i="1" s="1"/>
  <c r="P455" i="1"/>
  <c r="Q455" i="1"/>
  <c r="Z455" i="1"/>
  <c r="M456" i="1"/>
  <c r="O456" i="1" s="1"/>
  <c r="P456" i="1"/>
  <c r="Q456" i="1"/>
  <c r="Z456" i="1"/>
  <c r="M457" i="1"/>
  <c r="O457" i="1" s="1"/>
  <c r="P457" i="1"/>
  <c r="Q457" i="1"/>
  <c r="Z457" i="1"/>
  <c r="M458" i="1"/>
  <c r="O458" i="1" s="1"/>
  <c r="P458" i="1"/>
  <c r="Q458" i="1"/>
  <c r="Z458" i="1"/>
  <c r="M460" i="1"/>
  <c r="O460" i="1" s="1"/>
  <c r="P460" i="1"/>
  <c r="Q460" i="1"/>
  <c r="Z460" i="1"/>
  <c r="M461" i="1"/>
  <c r="O461" i="1" s="1"/>
  <c r="P461" i="1"/>
  <c r="Q461" i="1"/>
  <c r="Z461" i="1"/>
  <c r="M462" i="1"/>
  <c r="O462" i="1" s="1"/>
  <c r="P462" i="1"/>
  <c r="Q462" i="1"/>
  <c r="Z462" i="1"/>
  <c r="M463" i="1"/>
  <c r="O463" i="1" s="1"/>
  <c r="P463" i="1"/>
  <c r="Q463" i="1"/>
  <c r="Z463" i="1"/>
  <c r="M464" i="1"/>
  <c r="O464" i="1" s="1"/>
  <c r="P464" i="1"/>
  <c r="Q464" i="1"/>
  <c r="Z464" i="1"/>
  <c r="M465" i="1"/>
  <c r="O465" i="1" s="1"/>
  <c r="P465" i="1"/>
  <c r="Q465" i="1"/>
  <c r="Z465" i="1"/>
  <c r="M466" i="1"/>
  <c r="O466" i="1" s="1"/>
  <c r="P466" i="1"/>
  <c r="Q466" i="1"/>
  <c r="Z466" i="1"/>
  <c r="M467" i="1"/>
  <c r="O467" i="1" s="1"/>
  <c r="P467" i="1"/>
  <c r="Q467" i="1"/>
  <c r="Z467" i="1"/>
  <c r="M468" i="1"/>
  <c r="O468" i="1" s="1"/>
  <c r="P468" i="1"/>
  <c r="Q468" i="1"/>
  <c r="Z468" i="1"/>
  <c r="M469" i="1"/>
  <c r="O469" i="1" s="1"/>
  <c r="P469" i="1"/>
  <c r="Q469" i="1"/>
  <c r="Z469" i="1"/>
  <c r="M470" i="1"/>
  <c r="O470" i="1" s="1"/>
  <c r="P470" i="1"/>
  <c r="Q470" i="1"/>
  <c r="Z470" i="1"/>
  <c r="M471" i="1"/>
  <c r="O471" i="1" s="1"/>
  <c r="P471" i="1"/>
  <c r="Q471" i="1"/>
  <c r="Z471" i="1"/>
  <c r="M473" i="1"/>
  <c r="O473" i="1" s="1"/>
  <c r="Z473" i="1"/>
  <c r="M474" i="1"/>
  <c r="O474" i="1" s="1"/>
  <c r="Z474" i="1"/>
  <c r="M475" i="1"/>
  <c r="O475" i="1" s="1"/>
  <c r="Z475" i="1"/>
  <c r="M477" i="1"/>
  <c r="O477" i="1" s="1"/>
  <c r="P477" i="1"/>
  <c r="Q477" i="1"/>
  <c r="Z477" i="1"/>
  <c r="M478" i="1"/>
  <c r="O478" i="1" s="1"/>
  <c r="Z478" i="1"/>
  <c r="M479" i="1"/>
  <c r="O479" i="1" s="1"/>
  <c r="P479" i="1"/>
  <c r="Q479" i="1"/>
  <c r="Z479" i="1"/>
  <c r="M480" i="1"/>
  <c r="O480" i="1" s="1"/>
  <c r="P480" i="1"/>
  <c r="Q480" i="1"/>
  <c r="Z480" i="1"/>
  <c r="M481" i="1"/>
  <c r="O481" i="1" s="1"/>
  <c r="P481" i="1"/>
  <c r="Q481" i="1"/>
  <c r="Z481" i="1"/>
  <c r="M483" i="1"/>
  <c r="O483" i="1" s="1"/>
  <c r="Z483" i="1"/>
  <c r="M484" i="1"/>
  <c r="O484" i="1" s="1"/>
  <c r="P484" i="1"/>
  <c r="Q484" i="1"/>
  <c r="Z484" i="1"/>
  <c r="M485" i="1"/>
  <c r="O485" i="1" s="1"/>
  <c r="P485" i="1"/>
  <c r="Q485" i="1"/>
  <c r="Z485" i="1"/>
  <c r="M487" i="1"/>
  <c r="O487" i="1" s="1"/>
  <c r="P487" i="1"/>
  <c r="Q487" i="1"/>
  <c r="Z487" i="1"/>
  <c r="M488" i="1"/>
  <c r="O488" i="1" s="1"/>
  <c r="P488" i="1"/>
  <c r="Q488" i="1"/>
  <c r="Z488" i="1"/>
  <c r="M489" i="1"/>
  <c r="O489" i="1" s="1"/>
  <c r="P489" i="1"/>
  <c r="Q489" i="1"/>
  <c r="Z489" i="1"/>
  <c r="M490" i="1"/>
  <c r="O490" i="1" s="1"/>
  <c r="P490" i="1"/>
  <c r="Q490" i="1"/>
  <c r="Z490" i="1"/>
  <c r="M491" i="1"/>
  <c r="O491" i="1" s="1"/>
  <c r="Z491" i="1"/>
  <c r="M492" i="1"/>
  <c r="O492" i="1" s="1"/>
  <c r="P492" i="1"/>
  <c r="Q492" i="1"/>
  <c r="Z492" i="1"/>
  <c r="M493" i="1"/>
  <c r="O493" i="1" s="1"/>
  <c r="Z493" i="1"/>
  <c r="M494" i="1"/>
  <c r="O494" i="1" s="1"/>
  <c r="P494" i="1"/>
  <c r="Q494" i="1"/>
  <c r="Z494" i="1"/>
  <c r="M495" i="1"/>
  <c r="O495" i="1" s="1"/>
  <c r="P495" i="1"/>
  <c r="Q495" i="1"/>
  <c r="Z495" i="1"/>
  <c r="M497" i="1"/>
  <c r="O497" i="1" s="1"/>
  <c r="Z497" i="1"/>
  <c r="M498" i="1"/>
  <c r="O498" i="1" s="1"/>
  <c r="Z498" i="1"/>
  <c r="M499" i="1"/>
  <c r="O499" i="1" s="1"/>
  <c r="Z499" i="1"/>
  <c r="M500" i="1"/>
  <c r="O500" i="1" s="1"/>
  <c r="Z500" i="1"/>
  <c r="M501" i="1"/>
  <c r="O501" i="1" s="1"/>
  <c r="Z501" i="1"/>
  <c r="M502" i="1"/>
  <c r="O502" i="1" s="1"/>
  <c r="Z502" i="1"/>
  <c r="M503" i="1"/>
  <c r="O503" i="1" s="1"/>
  <c r="Z503" i="1"/>
  <c r="M504" i="1"/>
  <c r="O504" i="1" s="1"/>
  <c r="Z504" i="1"/>
  <c r="M506" i="1"/>
  <c r="O506" i="1" s="1"/>
  <c r="Z506" i="1"/>
  <c r="M509" i="1"/>
  <c r="O509" i="1" s="1"/>
  <c r="P509" i="1"/>
  <c r="Q509" i="1"/>
  <c r="Z509" i="1"/>
  <c r="M510" i="1"/>
  <c r="O510" i="1" s="1"/>
  <c r="P510" i="1"/>
  <c r="Q510" i="1"/>
  <c r="Z510" i="1"/>
  <c r="M511" i="1"/>
  <c r="O511" i="1" s="1"/>
  <c r="P511" i="1"/>
  <c r="Q511" i="1"/>
  <c r="Z511" i="1"/>
  <c r="M512" i="1"/>
  <c r="O512" i="1" s="1"/>
  <c r="P512" i="1"/>
  <c r="Q512" i="1"/>
  <c r="Z512" i="1"/>
  <c r="M513" i="1"/>
  <c r="O513" i="1" s="1"/>
  <c r="P513" i="1"/>
  <c r="Q513" i="1"/>
  <c r="Z513" i="1"/>
  <c r="M514" i="1"/>
  <c r="O514" i="1" s="1"/>
  <c r="P514" i="1"/>
  <c r="Q514" i="1"/>
  <c r="Z514" i="1"/>
  <c r="M516" i="1"/>
  <c r="O516" i="1" s="1"/>
  <c r="P516" i="1"/>
  <c r="Q516" i="1"/>
  <c r="Z516" i="1"/>
  <c r="M517" i="1"/>
  <c r="O517" i="1" s="1"/>
  <c r="P517" i="1"/>
  <c r="Q517" i="1"/>
  <c r="Z517" i="1"/>
  <c r="M518" i="1"/>
  <c r="O518" i="1" s="1"/>
  <c r="P518" i="1"/>
  <c r="Q518" i="1"/>
  <c r="Z518" i="1"/>
  <c r="M520" i="1"/>
  <c r="O520" i="1" s="1"/>
  <c r="P520" i="1"/>
  <c r="Q520" i="1"/>
  <c r="Z520" i="1"/>
  <c r="M521" i="1"/>
  <c r="O521" i="1" s="1"/>
  <c r="Z521" i="1"/>
  <c r="M522" i="1"/>
  <c r="O522" i="1" s="1"/>
  <c r="Z522" i="1"/>
  <c r="M523" i="1"/>
  <c r="O523" i="1" s="1"/>
  <c r="Z523" i="1"/>
  <c r="M524" i="1"/>
  <c r="O524" i="1" s="1"/>
  <c r="P524" i="1"/>
  <c r="Q524" i="1"/>
  <c r="Z524" i="1"/>
  <c r="M525" i="1"/>
  <c r="O525" i="1" s="1"/>
  <c r="Z525" i="1"/>
  <c r="M526" i="1"/>
  <c r="O526" i="1" s="1"/>
  <c r="P526" i="1"/>
  <c r="Q526" i="1"/>
  <c r="Z526" i="1"/>
  <c r="M527" i="1"/>
  <c r="O527" i="1" s="1"/>
  <c r="P527" i="1"/>
  <c r="Q527" i="1"/>
  <c r="Z527" i="1"/>
  <c r="M528" i="1"/>
  <c r="O528" i="1" s="1"/>
  <c r="P528" i="1"/>
  <c r="Q528" i="1"/>
  <c r="Z528" i="1"/>
  <c r="M529" i="1"/>
  <c r="O529" i="1" s="1"/>
  <c r="Z529" i="1"/>
  <c r="M530" i="1"/>
  <c r="O530" i="1" s="1"/>
  <c r="Z530" i="1"/>
  <c r="M531" i="1"/>
  <c r="O531" i="1" s="1"/>
  <c r="P531" i="1"/>
  <c r="Q531" i="1"/>
  <c r="Z531" i="1"/>
  <c r="M532" i="1"/>
  <c r="O532" i="1" s="1"/>
  <c r="P532" i="1"/>
  <c r="Q532" i="1"/>
  <c r="Z532" i="1"/>
  <c r="M533" i="1"/>
  <c r="O533" i="1" s="1"/>
  <c r="P533" i="1"/>
  <c r="Q533" i="1"/>
  <c r="Z533" i="1"/>
  <c r="M534" i="1"/>
  <c r="O534" i="1" s="1"/>
  <c r="Z534" i="1"/>
  <c r="M535" i="1"/>
  <c r="O535" i="1" s="1"/>
  <c r="P535" i="1"/>
  <c r="Q535" i="1"/>
  <c r="Z535" i="1"/>
  <c r="M537" i="1"/>
  <c r="O537" i="1" s="1"/>
  <c r="P537" i="1"/>
  <c r="Q537" i="1"/>
  <c r="Z537" i="1"/>
  <c r="M538" i="1"/>
  <c r="O538" i="1" s="1"/>
  <c r="P538" i="1"/>
  <c r="Q538" i="1"/>
  <c r="Z538" i="1"/>
  <c r="M539" i="1"/>
  <c r="O539" i="1" s="1"/>
  <c r="P539" i="1"/>
  <c r="Q539" i="1"/>
  <c r="Z539" i="1"/>
  <c r="M540" i="1"/>
  <c r="O540" i="1" s="1"/>
  <c r="P540" i="1"/>
  <c r="Q540" i="1"/>
  <c r="Z540" i="1"/>
  <c r="M542" i="1"/>
  <c r="O542" i="1" s="1"/>
  <c r="P542" i="1"/>
  <c r="Q542" i="1"/>
  <c r="Z542" i="1"/>
  <c r="M543" i="1"/>
  <c r="O543" i="1" s="1"/>
  <c r="P543" i="1"/>
  <c r="Q543" i="1"/>
  <c r="Z543" i="1"/>
  <c r="M545" i="1"/>
  <c r="O545" i="1" s="1"/>
  <c r="Z545" i="1"/>
  <c r="M546" i="1"/>
  <c r="O546" i="1" s="1"/>
  <c r="Z546" i="1"/>
  <c r="M547" i="1"/>
  <c r="O547" i="1" s="1"/>
  <c r="Z547" i="1"/>
  <c r="M548" i="1"/>
  <c r="O548" i="1" s="1"/>
  <c r="Z548" i="1"/>
  <c r="M550" i="1"/>
  <c r="O550" i="1" s="1"/>
  <c r="P550" i="1"/>
  <c r="Q550" i="1"/>
  <c r="Z550" i="1"/>
  <c r="M551" i="1"/>
  <c r="O551" i="1" s="1"/>
  <c r="P551" i="1"/>
  <c r="Q551" i="1"/>
  <c r="Z551" i="1"/>
  <c r="M552" i="1"/>
  <c r="O552" i="1" s="1"/>
  <c r="P552" i="1"/>
  <c r="Q552" i="1"/>
  <c r="Z552" i="1"/>
  <c r="M553" i="1"/>
  <c r="O553" i="1" s="1"/>
  <c r="P553" i="1"/>
  <c r="Q553" i="1"/>
  <c r="Z553" i="1"/>
  <c r="M555" i="1"/>
  <c r="O555" i="1" s="1"/>
  <c r="P555" i="1"/>
  <c r="Q555" i="1"/>
  <c r="Z555" i="1"/>
  <c r="M556" i="1"/>
  <c r="O556" i="1" s="1"/>
  <c r="Z556" i="1"/>
  <c r="M557" i="1"/>
  <c r="O557" i="1" s="1"/>
  <c r="P557" i="1"/>
  <c r="Q557" i="1"/>
  <c r="Z557" i="1"/>
  <c r="M558" i="1"/>
  <c r="O558" i="1" s="1"/>
  <c r="P558" i="1"/>
  <c r="Q558" i="1"/>
  <c r="Z558" i="1"/>
  <c r="M559" i="1"/>
  <c r="O559" i="1"/>
  <c r="P559" i="1"/>
  <c r="Q559" i="1"/>
  <c r="Z559" i="1"/>
  <c r="M560" i="1"/>
  <c r="O560" i="1" s="1"/>
  <c r="P560" i="1"/>
  <c r="Q560" i="1"/>
  <c r="Z560" i="1"/>
  <c r="M562" i="1"/>
  <c r="O562" i="1" s="1"/>
  <c r="Z562" i="1"/>
  <c r="M563" i="1"/>
  <c r="O563" i="1" s="1"/>
  <c r="Z563" i="1"/>
  <c r="M564" i="1"/>
  <c r="O564" i="1" s="1"/>
  <c r="Z564" i="1"/>
  <c r="M565" i="1"/>
  <c r="O565" i="1" s="1"/>
  <c r="Z565" i="1"/>
  <c r="M567" i="1"/>
  <c r="O567" i="1" s="1"/>
  <c r="P567" i="1"/>
  <c r="Q567" i="1"/>
  <c r="Z567" i="1"/>
  <c r="M568" i="1"/>
  <c r="O568" i="1" s="1"/>
  <c r="P568" i="1"/>
  <c r="Q568" i="1"/>
  <c r="Z568" i="1"/>
  <c r="M569" i="1"/>
  <c r="O569" i="1" s="1"/>
  <c r="P569" i="1"/>
  <c r="Q569" i="1"/>
  <c r="Z569" i="1"/>
  <c r="M571" i="1"/>
  <c r="O571" i="1" s="1"/>
  <c r="P571" i="1"/>
  <c r="Q571" i="1"/>
  <c r="Z571" i="1"/>
  <c r="M573" i="1"/>
  <c r="O573" i="1" s="1"/>
  <c r="Z573" i="1"/>
  <c r="M574" i="1"/>
  <c r="O574" i="1" s="1"/>
  <c r="P574" i="1"/>
  <c r="Q574" i="1"/>
  <c r="Z574" i="1"/>
  <c r="M575" i="1"/>
  <c r="O575" i="1" s="1"/>
  <c r="P575" i="1"/>
  <c r="Q575" i="1"/>
  <c r="Z575" i="1"/>
  <c r="M576" i="1"/>
  <c r="O576" i="1" s="1"/>
  <c r="P576" i="1"/>
  <c r="Q576" i="1"/>
  <c r="Z576" i="1"/>
  <c r="M577" i="1"/>
  <c r="O577" i="1" s="1"/>
  <c r="P577" i="1"/>
  <c r="Q577" i="1"/>
  <c r="Z577" i="1"/>
  <c r="M578" i="1"/>
  <c r="O578" i="1" s="1"/>
  <c r="Z578" i="1"/>
  <c r="M580" i="1"/>
  <c r="O580" i="1" s="1"/>
  <c r="Z580" i="1"/>
  <c r="M581" i="1"/>
  <c r="O581" i="1" s="1"/>
  <c r="P581" i="1"/>
  <c r="Q581" i="1"/>
  <c r="Z581" i="1"/>
  <c r="M582" i="1"/>
  <c r="O582" i="1" s="1"/>
  <c r="P582" i="1"/>
  <c r="Q582" i="1"/>
  <c r="Z582" i="1"/>
  <c r="M583" i="1"/>
  <c r="O583" i="1" s="1"/>
  <c r="P583" i="1"/>
  <c r="Q583" i="1"/>
  <c r="Z583" i="1"/>
  <c r="M584" i="1"/>
  <c r="O584" i="1" s="1"/>
  <c r="P584" i="1"/>
  <c r="Q584" i="1"/>
  <c r="Z584" i="1"/>
  <c r="M585" i="1"/>
  <c r="O585" i="1" s="1"/>
  <c r="Z585" i="1"/>
  <c r="M586" i="1"/>
  <c r="O586" i="1" s="1"/>
  <c r="P586" i="1"/>
  <c r="Q586" i="1"/>
  <c r="Z586" i="1"/>
  <c r="M587" i="1"/>
  <c r="O587" i="1" s="1"/>
  <c r="Z587" i="1"/>
  <c r="M588" i="1"/>
  <c r="O588" i="1" s="1"/>
  <c r="P588" i="1"/>
  <c r="Q588" i="1"/>
  <c r="Z588" i="1"/>
  <c r="M589" i="1"/>
  <c r="O589" i="1" s="1"/>
  <c r="P589" i="1"/>
  <c r="Q589" i="1"/>
  <c r="Z589" i="1"/>
  <c r="M590" i="1"/>
  <c r="O590" i="1" s="1"/>
  <c r="P590" i="1"/>
  <c r="Q590" i="1"/>
  <c r="Z590" i="1"/>
  <c r="M591" i="1"/>
  <c r="O591" i="1" s="1"/>
  <c r="P591" i="1"/>
  <c r="Q591" i="1"/>
  <c r="Z591" i="1"/>
  <c r="M592" i="1"/>
  <c r="O592" i="1" s="1"/>
  <c r="P592" i="1"/>
  <c r="Q592" i="1"/>
  <c r="Z592" i="1"/>
  <c r="M593" i="1"/>
  <c r="O593" i="1" s="1"/>
  <c r="Z593" i="1"/>
  <c r="M594" i="1"/>
  <c r="O594" i="1" s="1"/>
  <c r="Z594" i="1"/>
  <c r="M595" i="1"/>
  <c r="O595" i="1" s="1"/>
  <c r="Z595" i="1"/>
  <c r="M596" i="1"/>
  <c r="O596" i="1" s="1"/>
  <c r="Z596" i="1"/>
  <c r="M598" i="1"/>
  <c r="O598" i="1"/>
  <c r="Z598" i="1"/>
  <c r="M599" i="1"/>
  <c r="O599" i="1" s="1"/>
  <c r="P599" i="1"/>
  <c r="Q599" i="1"/>
  <c r="Z599" i="1"/>
  <c r="M600" i="1"/>
  <c r="O600" i="1" s="1"/>
  <c r="Z600" i="1"/>
  <c r="M601" i="1"/>
  <c r="O601" i="1" s="1"/>
  <c r="Z601" i="1"/>
  <c r="M602" i="1"/>
  <c r="O602" i="1" s="1"/>
  <c r="Z602" i="1"/>
  <c r="M603" i="1"/>
  <c r="O603" i="1" s="1"/>
  <c r="Z603" i="1"/>
  <c r="M606" i="1"/>
  <c r="O606" i="1" s="1"/>
  <c r="P606" i="1"/>
  <c r="Q606" i="1"/>
  <c r="Z606" i="1"/>
  <c r="M607" i="1"/>
  <c r="O607" i="1" s="1"/>
  <c r="P607" i="1"/>
  <c r="Q607" i="1"/>
  <c r="Z607" i="1"/>
  <c r="M609" i="1"/>
  <c r="O609" i="1" s="1"/>
  <c r="P609" i="1"/>
  <c r="Q609" i="1"/>
  <c r="Z609" i="1"/>
  <c r="M610" i="1"/>
  <c r="O610" i="1" s="1"/>
  <c r="P610" i="1"/>
  <c r="Q610" i="1"/>
  <c r="Z610" i="1"/>
  <c r="M612" i="1"/>
  <c r="O612" i="1" s="1"/>
  <c r="P612" i="1"/>
  <c r="Q612" i="1"/>
  <c r="Z612" i="1"/>
  <c r="M614" i="1"/>
  <c r="O614" i="1" s="1"/>
  <c r="P614" i="1"/>
  <c r="Q614" i="1"/>
  <c r="Z614" i="1"/>
  <c r="M615" i="1"/>
  <c r="O615" i="1" s="1"/>
  <c r="P615" i="1"/>
  <c r="Q615" i="1"/>
  <c r="Z615" i="1"/>
  <c r="M618" i="1"/>
  <c r="O618" i="1" s="1"/>
  <c r="P618" i="1"/>
  <c r="Q618" i="1"/>
  <c r="Z618" i="1"/>
  <c r="M619" i="1"/>
  <c r="O619" i="1" s="1"/>
  <c r="P619" i="1"/>
  <c r="Q619" i="1"/>
  <c r="Z619" i="1"/>
  <c r="M620" i="1"/>
  <c r="O620" i="1" s="1"/>
  <c r="P620" i="1"/>
  <c r="Q620" i="1"/>
  <c r="Z620" i="1"/>
  <c r="M622" i="1"/>
  <c r="O622" i="1" s="1"/>
  <c r="Z622" i="1"/>
  <c r="M623" i="1"/>
  <c r="O623" i="1" s="1"/>
  <c r="Z623" i="1"/>
  <c r="M624" i="1"/>
  <c r="O624" i="1" s="1"/>
  <c r="P624" i="1"/>
  <c r="Q624" i="1"/>
  <c r="Z624" i="1"/>
  <c r="M626" i="1"/>
  <c r="O626" i="1" s="1"/>
  <c r="P626" i="1"/>
  <c r="Q626" i="1"/>
  <c r="Z626" i="1"/>
  <c r="M627" i="1"/>
  <c r="O627" i="1" s="1"/>
  <c r="P627" i="1"/>
  <c r="Q627" i="1"/>
  <c r="Z627" i="1"/>
  <c r="M628" i="1"/>
  <c r="O628" i="1" s="1"/>
  <c r="P628" i="1"/>
  <c r="Q628" i="1"/>
  <c r="Z628" i="1"/>
  <c r="M629" i="1"/>
  <c r="O629" i="1" s="1"/>
  <c r="P629" i="1"/>
  <c r="Q629" i="1"/>
  <c r="Z629" i="1"/>
  <c r="M631" i="1"/>
  <c r="O631" i="1" s="1"/>
  <c r="Z631" i="1"/>
  <c r="M632" i="1"/>
  <c r="O632" i="1" s="1"/>
  <c r="Z632" i="1"/>
  <c r="M633" i="1"/>
  <c r="O633" i="1" s="1"/>
  <c r="Z633" i="1"/>
  <c r="M634" i="1"/>
  <c r="O634" i="1" s="1"/>
  <c r="P634" i="1"/>
  <c r="Q634" i="1"/>
  <c r="Z634" i="1"/>
  <c r="M636" i="1"/>
  <c r="O636" i="1" s="1"/>
  <c r="Z636" i="1"/>
  <c r="M638" i="1"/>
  <c r="O638" i="1" s="1"/>
  <c r="Z638" i="1"/>
  <c r="M639" i="1"/>
  <c r="O639" i="1" s="1"/>
  <c r="Z639" i="1"/>
  <c r="M640" i="1"/>
  <c r="O640" i="1" s="1"/>
  <c r="Z640" i="1"/>
  <c r="M641" i="1"/>
  <c r="O641" i="1" s="1"/>
  <c r="Z641" i="1"/>
  <c r="M644" i="1"/>
  <c r="O644" i="1" s="1"/>
  <c r="P644" i="1"/>
  <c r="Q644" i="1"/>
  <c r="Z644" i="1"/>
  <c r="M645" i="1"/>
  <c r="O645" i="1" s="1"/>
  <c r="P645" i="1"/>
  <c r="Q645" i="1"/>
  <c r="Z645" i="1"/>
  <c r="M647" i="1"/>
  <c r="O647" i="1" s="1"/>
  <c r="P647" i="1"/>
  <c r="Q647" i="1"/>
  <c r="Z647" i="1"/>
  <c r="M649" i="1"/>
  <c r="O649" i="1" s="1"/>
  <c r="P649" i="1"/>
  <c r="Q649" i="1"/>
  <c r="Z649" i="1"/>
  <c r="M650" i="1"/>
  <c r="O650" i="1" s="1"/>
  <c r="P650" i="1"/>
  <c r="Q650" i="1"/>
  <c r="Z650" i="1"/>
  <c r="M653" i="1"/>
  <c r="O653" i="1" s="1"/>
  <c r="P653" i="1"/>
  <c r="Q653" i="1"/>
  <c r="Z653" i="1"/>
  <c r="M654" i="1"/>
  <c r="O654" i="1" s="1"/>
  <c r="P654" i="1"/>
  <c r="Q654" i="1"/>
  <c r="Z654" i="1"/>
  <c r="M655" i="1"/>
  <c r="O655" i="1" s="1"/>
  <c r="P655" i="1"/>
  <c r="Q655" i="1"/>
  <c r="Z655" i="1"/>
  <c r="M657" i="1"/>
  <c r="O657" i="1"/>
  <c r="Z657" i="1"/>
  <c r="M658" i="1"/>
  <c r="O658" i="1" s="1"/>
  <c r="P658" i="1"/>
  <c r="Q658" i="1"/>
  <c r="Z658" i="1"/>
  <c r="M659" i="1"/>
  <c r="O659" i="1" s="1"/>
  <c r="P659" i="1"/>
  <c r="Q659" i="1"/>
  <c r="Z659" i="1"/>
  <c r="M660" i="1"/>
  <c r="O660" i="1" s="1"/>
  <c r="P660" i="1"/>
  <c r="Q660" i="1"/>
  <c r="Z660" i="1"/>
  <c r="M662" i="1"/>
  <c r="O662" i="1" s="1"/>
  <c r="P662" i="1"/>
  <c r="Q662" i="1"/>
  <c r="Z662" i="1"/>
  <c r="M663" i="1"/>
  <c r="O663" i="1" s="1"/>
  <c r="Z663" i="1"/>
  <c r="M664" i="1"/>
  <c r="O664" i="1" s="1"/>
  <c r="Z664" i="1"/>
  <c r="M665" i="1"/>
  <c r="O665" i="1" s="1"/>
  <c r="P665" i="1"/>
  <c r="Q665" i="1"/>
  <c r="Z665" i="1"/>
  <c r="M666" i="1"/>
  <c r="O666" i="1" s="1"/>
  <c r="P666" i="1"/>
  <c r="Q666" i="1"/>
  <c r="Z666" i="1"/>
  <c r="M668" i="1"/>
  <c r="O668" i="1" s="1"/>
  <c r="P668" i="1"/>
  <c r="Q668" i="1"/>
  <c r="Z668" i="1"/>
  <c r="M670" i="1"/>
  <c r="O670" i="1" s="1"/>
  <c r="P670" i="1"/>
  <c r="Q670" i="1"/>
  <c r="Z670" i="1"/>
  <c r="M671" i="1"/>
  <c r="O671" i="1" s="1"/>
  <c r="P671" i="1"/>
  <c r="Q671" i="1"/>
  <c r="Z671" i="1"/>
  <c r="M674" i="1"/>
  <c r="O674" i="1" s="1"/>
  <c r="P674" i="1"/>
  <c r="Q674" i="1"/>
  <c r="Z674" i="1"/>
  <c r="M675" i="1"/>
  <c r="O675" i="1" s="1"/>
  <c r="P675" i="1"/>
  <c r="Q675" i="1"/>
  <c r="Z675" i="1"/>
  <c r="M676" i="1"/>
  <c r="O676" i="1" s="1"/>
  <c r="P676" i="1"/>
  <c r="Q676" i="1"/>
  <c r="Z676" i="1"/>
  <c r="M677" i="1"/>
  <c r="O677" i="1" s="1"/>
  <c r="P677" i="1"/>
  <c r="Q677" i="1"/>
  <c r="Z677" i="1"/>
  <c r="M679" i="1"/>
  <c r="O679" i="1" s="1"/>
  <c r="P679" i="1"/>
  <c r="Q679" i="1"/>
  <c r="Z679" i="1"/>
  <c r="M681" i="1"/>
  <c r="O681" i="1" s="1"/>
  <c r="Z681" i="1"/>
  <c r="M682" i="1"/>
  <c r="O682" i="1" s="1"/>
  <c r="P682" i="1"/>
  <c r="Q682" i="1"/>
  <c r="Z682" i="1"/>
  <c r="M683" i="1"/>
  <c r="O683" i="1" s="1"/>
  <c r="P683" i="1"/>
  <c r="Q683" i="1"/>
  <c r="Z683" i="1"/>
  <c r="M685" i="1"/>
  <c r="O685" i="1" s="1"/>
  <c r="P685" i="1"/>
  <c r="Q685" i="1"/>
  <c r="Z685" i="1"/>
  <c r="M687" i="1"/>
  <c r="O687" i="1" s="1"/>
  <c r="P687" i="1"/>
  <c r="Q687" i="1"/>
  <c r="Z687" i="1"/>
  <c r="M688" i="1"/>
  <c r="O688" i="1" s="1"/>
  <c r="P688" i="1"/>
  <c r="Q688" i="1"/>
  <c r="Z688" i="1"/>
  <c r="M689" i="1"/>
  <c r="O689" i="1" s="1"/>
  <c r="P689" i="1"/>
  <c r="Q689" i="1"/>
  <c r="Z689" i="1"/>
  <c r="M690" i="1"/>
  <c r="O690" i="1" s="1"/>
  <c r="P690" i="1"/>
  <c r="Q690" i="1"/>
  <c r="Z690" i="1"/>
  <c r="M692" i="1"/>
  <c r="O692" i="1" s="1"/>
  <c r="Z692" i="1"/>
  <c r="M693" i="1"/>
  <c r="O693" i="1" s="1"/>
  <c r="Z693" i="1"/>
  <c r="M695" i="1"/>
  <c r="O695" i="1" s="1"/>
  <c r="P695" i="1"/>
  <c r="Q695" i="1"/>
  <c r="Z695" i="1"/>
  <c r="M696" i="1"/>
  <c r="O696" i="1" s="1"/>
  <c r="P696" i="1"/>
  <c r="Q696" i="1"/>
  <c r="Z696" i="1"/>
  <c r="M697" i="1"/>
  <c r="O697" i="1" s="1"/>
  <c r="P697" i="1"/>
  <c r="Q697" i="1"/>
  <c r="Z697" i="1"/>
  <c r="M699" i="1"/>
  <c r="O699" i="1" s="1"/>
  <c r="Z699" i="1"/>
  <c r="M700" i="1"/>
  <c r="O700" i="1" s="1"/>
  <c r="Z700" i="1"/>
  <c r="M701" i="1"/>
  <c r="O701" i="1" s="1"/>
  <c r="Z701" i="1"/>
  <c r="M702" i="1"/>
  <c r="O702" i="1"/>
  <c r="Z702" i="1"/>
  <c r="M704" i="1"/>
  <c r="O704" i="1" s="1"/>
  <c r="P704" i="1"/>
  <c r="Q704" i="1"/>
  <c r="Z704" i="1"/>
  <c r="M705" i="1"/>
  <c r="O705" i="1" s="1"/>
  <c r="P705" i="1"/>
  <c r="Q705" i="1"/>
  <c r="Z705" i="1"/>
  <c r="M706" i="1"/>
  <c r="O706" i="1" s="1"/>
  <c r="P706" i="1"/>
  <c r="Q706" i="1"/>
  <c r="Z706" i="1"/>
  <c r="M707" i="1"/>
  <c r="O707" i="1" s="1"/>
  <c r="P707" i="1"/>
  <c r="Q707" i="1"/>
  <c r="Z707" i="1"/>
  <c r="M709" i="1"/>
  <c r="O709" i="1" s="1"/>
  <c r="P709" i="1"/>
  <c r="Q709" i="1"/>
  <c r="Z709" i="1"/>
  <c r="M710" i="1"/>
  <c r="O710" i="1" s="1"/>
  <c r="P710" i="1"/>
  <c r="Q710" i="1"/>
  <c r="Z710" i="1"/>
  <c r="M711" i="1"/>
  <c r="O711" i="1" s="1"/>
  <c r="P711" i="1"/>
  <c r="Q711" i="1"/>
  <c r="Z711" i="1"/>
  <c r="M713" i="1"/>
  <c r="O713" i="1" s="1"/>
  <c r="P713" i="1"/>
  <c r="Q713" i="1"/>
  <c r="Z713" i="1"/>
  <c r="M714" i="1"/>
  <c r="O714" i="1" s="1"/>
  <c r="P714" i="1"/>
  <c r="Q714" i="1"/>
  <c r="Z714" i="1"/>
  <c r="M715" i="1"/>
  <c r="O715" i="1" s="1"/>
  <c r="P715" i="1"/>
  <c r="Q715" i="1"/>
  <c r="Z715" i="1"/>
  <c r="M717" i="1"/>
  <c r="O717" i="1" s="1"/>
  <c r="P717" i="1"/>
  <c r="Q717" i="1"/>
  <c r="Z717" i="1"/>
  <c r="M718" i="1"/>
  <c r="O718" i="1" s="1"/>
  <c r="P718" i="1"/>
  <c r="Q718" i="1"/>
  <c r="Z718" i="1"/>
  <c r="M719" i="1"/>
  <c r="O719" i="1" s="1"/>
  <c r="P719" i="1"/>
  <c r="Q719" i="1"/>
  <c r="Z719" i="1"/>
  <c r="M720" i="1"/>
  <c r="O720" i="1" s="1"/>
  <c r="P720" i="1"/>
  <c r="Q720" i="1"/>
  <c r="Z720" i="1"/>
  <c r="M721" i="1"/>
  <c r="O721" i="1" s="1"/>
  <c r="P721" i="1"/>
  <c r="Q721" i="1"/>
  <c r="Z721" i="1"/>
  <c r="M724" i="1"/>
  <c r="O724" i="1" s="1"/>
  <c r="P724" i="1"/>
  <c r="Q724" i="1"/>
  <c r="Z724" i="1"/>
  <c r="M725" i="1"/>
  <c r="O725" i="1" s="1"/>
  <c r="P725" i="1"/>
  <c r="Q725" i="1"/>
  <c r="Z725" i="1"/>
  <c r="M726" i="1"/>
  <c r="O726" i="1" s="1"/>
  <c r="P726" i="1"/>
  <c r="Q726" i="1"/>
  <c r="Z726" i="1"/>
  <c r="M727" i="1"/>
  <c r="O727" i="1" s="1"/>
  <c r="P727" i="1"/>
  <c r="Q727" i="1"/>
  <c r="Z727" i="1"/>
  <c r="M728" i="1"/>
  <c r="O728" i="1" s="1"/>
  <c r="P728" i="1"/>
  <c r="Q728" i="1"/>
  <c r="Z728" i="1"/>
  <c r="M729" i="1"/>
  <c r="O729" i="1" s="1"/>
  <c r="P729" i="1"/>
  <c r="Q729" i="1"/>
  <c r="Z729" i="1"/>
  <c r="M731" i="1"/>
  <c r="O731" i="1" s="1"/>
  <c r="Z731" i="1"/>
  <c r="M733" i="1"/>
  <c r="O733" i="1" s="1"/>
  <c r="P733" i="1"/>
  <c r="Q733" i="1"/>
  <c r="Z733" i="1"/>
  <c r="M734" i="1"/>
  <c r="O734" i="1" s="1"/>
  <c r="P734" i="1"/>
  <c r="Q734" i="1"/>
  <c r="Z734" i="1"/>
  <c r="M737" i="1"/>
  <c r="O737" i="1" s="1"/>
  <c r="P737" i="1"/>
  <c r="Q737" i="1"/>
  <c r="Z737" i="1"/>
  <c r="M738" i="1"/>
  <c r="O738" i="1" s="1"/>
  <c r="P738" i="1"/>
  <c r="Q738" i="1"/>
  <c r="Z738" i="1"/>
  <c r="M739" i="1"/>
  <c r="O739" i="1" s="1"/>
  <c r="P739" i="1"/>
  <c r="Q739" i="1"/>
  <c r="Z739" i="1"/>
  <c r="M740" i="1"/>
  <c r="O740" i="1" s="1"/>
  <c r="P740" i="1"/>
  <c r="Q740" i="1"/>
  <c r="Z740" i="1"/>
  <c r="M742" i="1"/>
  <c r="O742" i="1" s="1"/>
  <c r="P742" i="1"/>
  <c r="Q742" i="1"/>
  <c r="Z742" i="1"/>
  <c r="M743" i="1"/>
  <c r="O743" i="1" s="1"/>
  <c r="P743" i="1"/>
  <c r="Q743" i="1"/>
  <c r="Z743" i="1"/>
  <c r="M744" i="1"/>
  <c r="O744" i="1" s="1"/>
  <c r="P744" i="1"/>
  <c r="Q744" i="1"/>
  <c r="Z744" i="1"/>
  <c r="M745" i="1"/>
  <c r="O745" i="1" s="1"/>
  <c r="P745" i="1"/>
  <c r="Q745" i="1"/>
  <c r="Z745" i="1"/>
  <c r="M747" i="1"/>
  <c r="O747" i="1" s="1"/>
  <c r="P747" i="1"/>
  <c r="Q747" i="1"/>
  <c r="Z747" i="1"/>
  <c r="M748" i="1"/>
  <c r="O748" i="1" s="1"/>
  <c r="P748" i="1"/>
  <c r="Q748" i="1"/>
  <c r="Z748" i="1"/>
  <c r="M749" i="1"/>
  <c r="O749" i="1" s="1"/>
  <c r="P749" i="1"/>
  <c r="Q749" i="1"/>
  <c r="Z749" i="1"/>
  <c r="M750" i="1"/>
  <c r="O750" i="1" s="1"/>
  <c r="P750" i="1"/>
  <c r="Q750" i="1"/>
  <c r="Z750" i="1"/>
  <c r="M751" i="1"/>
  <c r="O751" i="1" s="1"/>
  <c r="P751" i="1"/>
  <c r="Q751" i="1"/>
  <c r="Z751" i="1"/>
  <c r="M752" i="1"/>
  <c r="O752" i="1" s="1"/>
  <c r="P752" i="1"/>
  <c r="Q752" i="1"/>
  <c r="Z752" i="1"/>
  <c r="M753" i="1"/>
  <c r="O753" i="1" s="1"/>
  <c r="P753" i="1"/>
  <c r="Q753" i="1"/>
  <c r="Z753" i="1"/>
  <c r="M755" i="1"/>
  <c r="O755" i="1" s="1"/>
  <c r="P755" i="1"/>
  <c r="Q755" i="1"/>
  <c r="Z755" i="1"/>
  <c r="M756" i="1"/>
  <c r="O756" i="1" s="1"/>
  <c r="P756" i="1"/>
  <c r="Q756" i="1"/>
  <c r="Z756" i="1"/>
  <c r="M757" i="1"/>
  <c r="O757" i="1" s="1"/>
  <c r="P757" i="1"/>
  <c r="Q757" i="1"/>
  <c r="Z757" i="1"/>
  <c r="M758" i="1"/>
  <c r="O758" i="1" s="1"/>
  <c r="P758" i="1"/>
  <c r="Q758" i="1"/>
  <c r="Z758" i="1"/>
  <c r="M759" i="1"/>
  <c r="O759" i="1"/>
  <c r="P759" i="1"/>
  <c r="Q759" i="1"/>
  <c r="Z759" i="1"/>
  <c r="M760" i="1"/>
  <c r="O760" i="1" s="1"/>
  <c r="P760" i="1"/>
  <c r="Q760" i="1"/>
  <c r="Z760" i="1"/>
  <c r="M761" i="1"/>
  <c r="O761" i="1" s="1"/>
  <c r="P761" i="1"/>
  <c r="Q761" i="1"/>
  <c r="Z761" i="1"/>
  <c r="M762" i="1"/>
  <c r="O762" i="1" s="1"/>
  <c r="P762" i="1"/>
  <c r="Q762" i="1"/>
  <c r="Z762" i="1"/>
  <c r="M763" i="1"/>
  <c r="O763" i="1" s="1"/>
  <c r="P763" i="1"/>
  <c r="Q763" i="1"/>
  <c r="Z763" i="1"/>
  <c r="M764" i="1"/>
  <c r="O764" i="1" s="1"/>
  <c r="P764" i="1"/>
  <c r="Q764" i="1"/>
  <c r="Z764" i="1"/>
  <c r="M765" i="1"/>
  <c r="O765" i="1" s="1"/>
  <c r="P765" i="1"/>
  <c r="Q765" i="1"/>
  <c r="Z765" i="1"/>
  <c r="M766" i="1"/>
  <c r="O766" i="1" s="1"/>
  <c r="P766" i="1"/>
  <c r="Q766" i="1"/>
  <c r="Z766" i="1"/>
  <c r="M767" i="1"/>
  <c r="O767" i="1" s="1"/>
  <c r="P767" i="1"/>
  <c r="Q767" i="1"/>
  <c r="Z767" i="1"/>
  <c r="M769" i="1"/>
  <c r="O769" i="1" s="1"/>
  <c r="P769" i="1"/>
  <c r="Q769" i="1"/>
  <c r="Z769" i="1"/>
  <c r="M770" i="1"/>
  <c r="O770" i="1" s="1"/>
  <c r="P770" i="1"/>
  <c r="Q770" i="1"/>
  <c r="Z770" i="1"/>
  <c r="M771" i="1"/>
  <c r="O771" i="1" s="1"/>
  <c r="Z771" i="1"/>
  <c r="M772" i="1"/>
  <c r="O772" i="1" s="1"/>
  <c r="P772" i="1"/>
  <c r="Q772" i="1"/>
  <c r="Z772" i="1"/>
  <c r="M774" i="1"/>
  <c r="O774" i="1" s="1"/>
  <c r="P774" i="1"/>
  <c r="Q774" i="1"/>
  <c r="Z774" i="1"/>
  <c r="M775" i="1"/>
  <c r="O775" i="1" s="1"/>
  <c r="P775" i="1"/>
  <c r="Q775" i="1"/>
  <c r="Z775" i="1"/>
  <c r="M777" i="1"/>
  <c r="O777" i="1" s="1"/>
  <c r="P777" i="1"/>
  <c r="Q777" i="1"/>
  <c r="Z777" i="1"/>
  <c r="M778" i="1"/>
  <c r="O778" i="1" s="1"/>
  <c r="P778" i="1"/>
  <c r="Q778" i="1"/>
  <c r="Z778" i="1"/>
  <c r="M779" i="1"/>
  <c r="O779" i="1" s="1"/>
  <c r="P779" i="1"/>
  <c r="Q779" i="1"/>
  <c r="Z779" i="1"/>
  <c r="M780" i="1"/>
  <c r="O780" i="1" s="1"/>
  <c r="P780" i="1"/>
  <c r="Q780" i="1"/>
  <c r="Z780" i="1"/>
  <c r="M781" i="1"/>
  <c r="O781" i="1" s="1"/>
  <c r="P781" i="1"/>
  <c r="Q781" i="1"/>
  <c r="Z781" i="1"/>
  <c r="M782" i="1"/>
  <c r="O782" i="1" s="1"/>
  <c r="P782" i="1"/>
  <c r="Q782" i="1"/>
  <c r="Z782" i="1"/>
  <c r="M784" i="1"/>
  <c r="O784" i="1" s="1"/>
  <c r="P784" i="1"/>
  <c r="Q784" i="1"/>
  <c r="Z784" i="1"/>
  <c r="M785" i="1"/>
  <c r="O785" i="1" s="1"/>
  <c r="P785" i="1"/>
  <c r="Q785" i="1"/>
  <c r="Z785" i="1"/>
  <c r="M786" i="1"/>
  <c r="O786" i="1" s="1"/>
  <c r="P786" i="1"/>
  <c r="Q786" i="1"/>
  <c r="Z786" i="1"/>
  <c r="M787" i="1"/>
  <c r="O787" i="1" s="1"/>
  <c r="P787" i="1"/>
  <c r="Q787" i="1"/>
  <c r="Z787" i="1"/>
  <c r="M790" i="1"/>
  <c r="O790" i="1" s="1"/>
  <c r="P790" i="1"/>
  <c r="Q790" i="1"/>
  <c r="Z790" i="1"/>
  <c r="M791" i="1"/>
  <c r="O791" i="1" s="1"/>
  <c r="Z791" i="1"/>
  <c r="M792" i="1"/>
  <c r="O792" i="1" s="1"/>
  <c r="P792" i="1"/>
  <c r="Q792" i="1"/>
  <c r="Z792" i="1"/>
  <c r="M794" i="1"/>
  <c r="O794" i="1" s="1"/>
  <c r="P794" i="1"/>
  <c r="Q794" i="1"/>
  <c r="Z794" i="1"/>
  <c r="M795" i="1"/>
  <c r="O795" i="1" s="1"/>
  <c r="P795" i="1"/>
  <c r="Q795" i="1"/>
  <c r="Z795" i="1"/>
  <c r="M796" i="1"/>
  <c r="O796" i="1"/>
  <c r="P796" i="1"/>
  <c r="Q796" i="1"/>
  <c r="Z796" i="1"/>
  <c r="M797" i="1"/>
  <c r="O797" i="1" s="1"/>
  <c r="P797" i="1"/>
  <c r="Q797" i="1"/>
  <c r="Z797" i="1"/>
  <c r="M799" i="1"/>
  <c r="O799" i="1" s="1"/>
  <c r="P799" i="1"/>
  <c r="Q799" i="1"/>
  <c r="Z799" i="1"/>
  <c r="M800" i="1"/>
  <c r="O800" i="1" s="1"/>
  <c r="P800" i="1"/>
  <c r="Q800" i="1"/>
  <c r="Z800" i="1"/>
  <c r="M801" i="1"/>
  <c r="O801" i="1" s="1"/>
  <c r="P801" i="1"/>
  <c r="Q801" i="1"/>
  <c r="Z801" i="1"/>
  <c r="M803" i="1"/>
  <c r="O803" i="1" s="1"/>
  <c r="P803" i="1"/>
  <c r="Q803" i="1"/>
  <c r="Z803" i="1"/>
  <c r="M804" i="1"/>
  <c r="O804" i="1" s="1"/>
  <c r="P804" i="1"/>
  <c r="Q804" i="1"/>
  <c r="Z804" i="1"/>
  <c r="M805" i="1"/>
  <c r="O805" i="1" s="1"/>
  <c r="P805" i="1"/>
  <c r="Q805" i="1"/>
  <c r="Z805" i="1"/>
  <c r="M806" i="1"/>
  <c r="O806" i="1" s="1"/>
  <c r="P806" i="1"/>
  <c r="Q806" i="1"/>
  <c r="Z806" i="1"/>
  <c r="M808" i="1"/>
  <c r="O808" i="1" s="1"/>
  <c r="P808" i="1"/>
  <c r="Q808" i="1"/>
  <c r="Z808" i="1"/>
  <c r="M809" i="1"/>
  <c r="O809" i="1" s="1"/>
  <c r="Z809" i="1"/>
  <c r="M811" i="1"/>
  <c r="O811" i="1" s="1"/>
  <c r="P811" i="1"/>
  <c r="Q811" i="1"/>
  <c r="Z811" i="1"/>
  <c r="M812" i="1"/>
  <c r="O812" i="1" s="1"/>
  <c r="P812" i="1"/>
  <c r="Q812" i="1"/>
  <c r="Z812" i="1"/>
  <c r="M814" i="1"/>
  <c r="O814" i="1" s="1"/>
  <c r="P814" i="1"/>
  <c r="Q814" i="1"/>
  <c r="Z814" i="1"/>
  <c r="M815" i="1"/>
  <c r="O815" i="1" s="1"/>
  <c r="P815" i="1"/>
  <c r="Q815" i="1"/>
  <c r="Z815" i="1"/>
  <c r="M818" i="1"/>
  <c r="O818" i="1" s="1"/>
  <c r="P818" i="1"/>
  <c r="Q818" i="1"/>
  <c r="Z818" i="1"/>
  <c r="M819" i="1"/>
  <c r="O819" i="1" s="1"/>
  <c r="P819" i="1"/>
  <c r="Q819" i="1"/>
  <c r="Z819" i="1"/>
  <c r="M820" i="1"/>
  <c r="O820" i="1" s="1"/>
  <c r="P820" i="1"/>
  <c r="Q820" i="1"/>
  <c r="Z820" i="1"/>
  <c r="M821" i="1"/>
  <c r="O821" i="1" s="1"/>
  <c r="Z821" i="1"/>
  <c r="M822" i="1"/>
  <c r="O822" i="1" s="1"/>
  <c r="P822" i="1"/>
  <c r="Q822" i="1"/>
  <c r="Z822" i="1"/>
  <c r="M823" i="1"/>
  <c r="O823" i="1" s="1"/>
  <c r="P823" i="1"/>
  <c r="Q823" i="1"/>
  <c r="Z823" i="1"/>
  <c r="M824" i="1"/>
  <c r="O824" i="1" s="1"/>
  <c r="P824" i="1"/>
  <c r="Q824" i="1"/>
  <c r="Z824" i="1"/>
  <c r="M825" i="1"/>
  <c r="O825" i="1" s="1"/>
  <c r="P825" i="1"/>
  <c r="Q825" i="1"/>
  <c r="Z825" i="1"/>
  <c r="M826" i="1"/>
  <c r="O826" i="1" s="1"/>
  <c r="P826" i="1"/>
  <c r="Q826" i="1"/>
  <c r="Z826" i="1"/>
  <c r="M827" i="1"/>
  <c r="O827" i="1" s="1"/>
  <c r="P827" i="1"/>
  <c r="Q827" i="1"/>
  <c r="Z827" i="1"/>
  <c r="M828" i="1"/>
  <c r="O828" i="1" s="1"/>
  <c r="P828" i="1"/>
  <c r="Q828" i="1"/>
  <c r="Z828" i="1"/>
  <c r="M829" i="1"/>
  <c r="O829" i="1" s="1"/>
  <c r="P829" i="1"/>
  <c r="Q829" i="1"/>
  <c r="Z829" i="1"/>
  <c r="M830" i="1"/>
  <c r="O830" i="1" s="1"/>
  <c r="P830" i="1"/>
  <c r="Q830" i="1"/>
  <c r="Z830" i="1"/>
  <c r="M831" i="1"/>
  <c r="O831" i="1" s="1"/>
  <c r="P831" i="1"/>
  <c r="Q831" i="1"/>
  <c r="Z831" i="1"/>
  <c r="M832" i="1"/>
  <c r="O832" i="1" s="1"/>
  <c r="Z832" i="1"/>
  <c r="M833" i="1"/>
  <c r="O833" i="1" s="1"/>
  <c r="Z833" i="1"/>
  <c r="M834" i="1"/>
  <c r="O834" i="1" s="1"/>
  <c r="P834" i="1"/>
  <c r="Q834" i="1"/>
  <c r="Z834" i="1"/>
  <c r="M835" i="1"/>
  <c r="O835" i="1" s="1"/>
  <c r="P835" i="1"/>
  <c r="Q835" i="1"/>
  <c r="Z835" i="1"/>
  <c r="M836" i="1"/>
  <c r="O836" i="1" s="1"/>
  <c r="P836" i="1"/>
  <c r="Q836" i="1"/>
  <c r="Z836" i="1"/>
  <c r="M837" i="1"/>
  <c r="O837" i="1" s="1"/>
  <c r="P837" i="1"/>
  <c r="Q837" i="1"/>
  <c r="Z837" i="1"/>
  <c r="M838" i="1"/>
  <c r="O838" i="1" s="1"/>
  <c r="P838" i="1"/>
  <c r="Q838" i="1"/>
  <c r="Z838" i="1"/>
  <c r="M839" i="1"/>
  <c r="O839" i="1" s="1"/>
  <c r="P839" i="1"/>
  <c r="Q839" i="1"/>
  <c r="Z839" i="1"/>
  <c r="M840" i="1"/>
  <c r="O840" i="1" s="1"/>
  <c r="P840" i="1"/>
  <c r="Q840" i="1"/>
  <c r="Z840" i="1"/>
  <c r="M841" i="1"/>
  <c r="O841" i="1" s="1"/>
  <c r="P841" i="1"/>
  <c r="Q841" i="1"/>
  <c r="Z841" i="1"/>
  <c r="M842" i="1"/>
  <c r="O842" i="1" s="1"/>
  <c r="P842" i="1"/>
  <c r="Q842" i="1"/>
  <c r="Z842" i="1"/>
  <c r="M843" i="1"/>
  <c r="O843" i="1" s="1"/>
  <c r="P843" i="1"/>
  <c r="Q843" i="1"/>
  <c r="Z843" i="1"/>
  <c r="M844" i="1"/>
  <c r="O844" i="1" s="1"/>
  <c r="P844" i="1"/>
  <c r="Q844" i="1"/>
  <c r="Z844" i="1"/>
  <c r="M845" i="1"/>
  <c r="O845" i="1" s="1"/>
  <c r="P845" i="1"/>
  <c r="Q845" i="1"/>
  <c r="Z845" i="1"/>
  <c r="M846" i="1"/>
  <c r="O846" i="1" s="1"/>
  <c r="P846" i="1"/>
  <c r="Q846" i="1"/>
  <c r="Z846" i="1"/>
  <c r="M847" i="1"/>
  <c r="O847" i="1" s="1"/>
  <c r="P847" i="1"/>
  <c r="Q847" i="1"/>
  <c r="Z847" i="1"/>
  <c r="M848" i="1"/>
  <c r="O848" i="1" s="1"/>
  <c r="P848" i="1"/>
  <c r="Q848" i="1"/>
  <c r="Z848" i="1"/>
  <c r="M849" i="1"/>
  <c r="O849" i="1" s="1"/>
  <c r="P849" i="1"/>
  <c r="Q849" i="1"/>
  <c r="Z849" i="1"/>
  <c r="M850" i="1"/>
  <c r="O850" i="1" s="1"/>
  <c r="P850" i="1"/>
  <c r="Q850" i="1"/>
  <c r="Z850" i="1"/>
  <c r="M851" i="1"/>
  <c r="O851" i="1" s="1"/>
  <c r="P851" i="1"/>
  <c r="Q851" i="1"/>
  <c r="Z851" i="1"/>
  <c r="M852" i="1"/>
  <c r="O852" i="1" s="1"/>
  <c r="P852" i="1"/>
  <c r="Q852" i="1"/>
  <c r="Z852" i="1"/>
  <c r="M853" i="1"/>
  <c r="O853" i="1" s="1"/>
  <c r="P853" i="1"/>
  <c r="Q853" i="1"/>
  <c r="Z853" i="1"/>
  <c r="M854" i="1"/>
  <c r="O854" i="1" s="1"/>
  <c r="P854" i="1"/>
  <c r="Q854" i="1"/>
  <c r="Z854" i="1"/>
  <c r="M855" i="1"/>
  <c r="O855" i="1" s="1"/>
  <c r="P855" i="1"/>
  <c r="Q855" i="1"/>
  <c r="Z855" i="1"/>
  <c r="M856" i="1"/>
  <c r="O856" i="1" s="1"/>
  <c r="P856" i="1"/>
  <c r="Q856" i="1"/>
  <c r="Z856" i="1"/>
  <c r="M857" i="1"/>
  <c r="O857" i="1" s="1"/>
  <c r="P857" i="1"/>
  <c r="Q857" i="1"/>
  <c r="Z857" i="1"/>
  <c r="M858" i="1"/>
  <c r="O858" i="1" s="1"/>
  <c r="P858" i="1"/>
  <c r="Q858" i="1"/>
  <c r="Z858" i="1"/>
  <c r="M859" i="1"/>
  <c r="O859" i="1" s="1"/>
  <c r="P859" i="1"/>
  <c r="Q859" i="1"/>
  <c r="Z859" i="1"/>
  <c r="M860" i="1"/>
  <c r="O860" i="1" s="1"/>
  <c r="P860" i="1"/>
  <c r="Q860" i="1"/>
  <c r="Z860" i="1"/>
  <c r="M861" i="1"/>
  <c r="O861" i="1" s="1"/>
  <c r="P861" i="1"/>
  <c r="Q861" i="1"/>
  <c r="Z861" i="1"/>
  <c r="M862" i="1"/>
  <c r="O862" i="1" s="1"/>
  <c r="P862" i="1"/>
  <c r="Q862" i="1"/>
  <c r="Z862" i="1"/>
  <c r="M863" i="1"/>
  <c r="O863" i="1" s="1"/>
  <c r="P863" i="1"/>
  <c r="Q863" i="1"/>
  <c r="Z863" i="1"/>
  <c r="M864" i="1"/>
  <c r="O864" i="1" s="1"/>
  <c r="P864" i="1"/>
  <c r="Q864" i="1"/>
  <c r="Z864" i="1"/>
  <c r="M865" i="1"/>
  <c r="O865" i="1" s="1"/>
  <c r="P865" i="1"/>
  <c r="Q865" i="1"/>
  <c r="Z865" i="1"/>
  <c r="M866" i="1"/>
  <c r="O866" i="1" s="1"/>
  <c r="P866" i="1"/>
  <c r="Q866" i="1"/>
  <c r="Z866" i="1"/>
  <c r="M867" i="1"/>
  <c r="O867" i="1" s="1"/>
  <c r="P867" i="1"/>
  <c r="Q867" i="1"/>
  <c r="Z867" i="1"/>
  <c r="M868" i="1"/>
  <c r="O868" i="1" s="1"/>
  <c r="P868" i="1"/>
  <c r="Q868" i="1"/>
  <c r="Z868" i="1"/>
  <c r="M869" i="1"/>
  <c r="O869" i="1" s="1"/>
  <c r="P869" i="1"/>
  <c r="Q869" i="1"/>
  <c r="Z869" i="1"/>
  <c r="M870" i="1"/>
  <c r="O870" i="1" s="1"/>
  <c r="P870" i="1"/>
  <c r="Q870" i="1"/>
  <c r="Z870" i="1"/>
  <c r="M871" i="1"/>
  <c r="O871" i="1" s="1"/>
  <c r="P871" i="1"/>
  <c r="Q871" i="1"/>
  <c r="Z871" i="1"/>
  <c r="M872" i="1"/>
  <c r="O872" i="1" s="1"/>
  <c r="P872" i="1"/>
  <c r="Q872" i="1"/>
  <c r="Z872" i="1"/>
  <c r="M873" i="1"/>
  <c r="O873" i="1" s="1"/>
  <c r="P873" i="1"/>
  <c r="Q873" i="1"/>
  <c r="Z873" i="1"/>
  <c r="M874" i="1"/>
  <c r="O874" i="1" s="1"/>
  <c r="P874" i="1"/>
  <c r="Q874" i="1"/>
  <c r="Z874" i="1"/>
  <c r="M875" i="1"/>
  <c r="O875" i="1" s="1"/>
  <c r="P875" i="1"/>
  <c r="Q875" i="1"/>
  <c r="Z875" i="1"/>
  <c r="M876" i="1"/>
  <c r="O876" i="1" s="1"/>
  <c r="P876" i="1"/>
  <c r="Q876" i="1"/>
  <c r="Z876" i="1"/>
  <c r="M877" i="1"/>
  <c r="O877" i="1" s="1"/>
  <c r="P877" i="1"/>
  <c r="Q877" i="1"/>
  <c r="Z877" i="1"/>
  <c r="M879" i="1"/>
  <c r="O879" i="1" s="1"/>
  <c r="P879" i="1"/>
  <c r="Q879" i="1"/>
  <c r="Z879" i="1"/>
  <c r="M880" i="1"/>
  <c r="O880" i="1" s="1"/>
  <c r="Z880" i="1"/>
  <c r="M881" i="1"/>
  <c r="O881" i="1" s="1"/>
  <c r="Z881" i="1"/>
  <c r="M882" i="1"/>
  <c r="O882" i="1" s="1"/>
  <c r="Z882" i="1"/>
  <c r="M883" i="1"/>
  <c r="O883" i="1" s="1"/>
  <c r="Z883" i="1"/>
  <c r="M886" i="1"/>
  <c r="O886" i="1" s="1"/>
  <c r="Z886" i="1"/>
  <c r="M887" i="1"/>
  <c r="O887" i="1" s="1"/>
  <c r="Z887" i="1"/>
  <c r="M888" i="1"/>
  <c r="O888" i="1" s="1"/>
  <c r="Z888" i="1"/>
  <c r="M889" i="1"/>
  <c r="O889" i="1" s="1"/>
  <c r="Z889" i="1"/>
  <c r="M890" i="1"/>
  <c r="O890" i="1" s="1"/>
  <c r="Z890" i="1"/>
  <c r="M891" i="1"/>
  <c r="O891" i="1" s="1"/>
  <c r="Z891" i="1"/>
  <c r="M892" i="1"/>
  <c r="O892" i="1" s="1"/>
  <c r="Z892" i="1"/>
  <c r="M893" i="1"/>
  <c r="O893" i="1" s="1"/>
  <c r="Z893" i="1"/>
  <c r="M895" i="1"/>
  <c r="O895" i="1" s="1"/>
  <c r="P895" i="1"/>
  <c r="Q895" i="1"/>
  <c r="Z895" i="1"/>
  <c r="M896" i="1"/>
  <c r="O896" i="1" s="1"/>
  <c r="Z896" i="1"/>
  <c r="M898" i="1"/>
  <c r="O898" i="1" s="1"/>
  <c r="P898" i="1"/>
  <c r="Q898" i="1"/>
  <c r="Z898" i="1"/>
  <c r="M899" i="1"/>
  <c r="O899" i="1" s="1"/>
  <c r="P899" i="1"/>
  <c r="Q899" i="1"/>
  <c r="Z899" i="1"/>
  <c r="M901" i="1"/>
  <c r="O901" i="1" s="1"/>
  <c r="P901" i="1"/>
  <c r="Q901" i="1"/>
  <c r="Z901" i="1"/>
  <c r="M902" i="1"/>
  <c r="O902" i="1" s="1"/>
  <c r="P902" i="1"/>
  <c r="Q902" i="1"/>
  <c r="Z902" i="1"/>
  <c r="M903" i="1"/>
  <c r="O903" i="1" s="1"/>
  <c r="P903" i="1"/>
  <c r="Q903" i="1"/>
  <c r="Z903" i="1"/>
  <c r="M905" i="1"/>
  <c r="O905" i="1" s="1"/>
  <c r="P905" i="1"/>
  <c r="Q905" i="1"/>
  <c r="Z905" i="1"/>
  <c r="M906" i="1"/>
  <c r="O906" i="1" s="1"/>
  <c r="P906" i="1"/>
  <c r="Q906" i="1"/>
  <c r="Z906" i="1"/>
  <c r="M908" i="1"/>
  <c r="O908" i="1" s="1"/>
  <c r="P908" i="1"/>
  <c r="Q908" i="1"/>
  <c r="Z908" i="1"/>
  <c r="M909" i="1"/>
  <c r="O909" i="1" s="1"/>
  <c r="P909" i="1"/>
  <c r="Q909" i="1"/>
  <c r="Z909" i="1"/>
  <c r="M911" i="1"/>
  <c r="O911" i="1" s="1"/>
  <c r="P911" i="1"/>
  <c r="Q911" i="1"/>
  <c r="Z911" i="1"/>
  <c r="M912" i="1"/>
  <c r="O912" i="1" s="1"/>
  <c r="P912" i="1"/>
  <c r="Q912" i="1"/>
  <c r="Z912" i="1"/>
  <c r="M914" i="1"/>
  <c r="O914" i="1" s="1"/>
  <c r="Z914" i="1"/>
  <c r="M915" i="1"/>
  <c r="O915" i="1" s="1"/>
  <c r="Z915" i="1"/>
  <c r="M916" i="1"/>
  <c r="O916" i="1" s="1"/>
  <c r="Z916" i="1"/>
  <c r="M917" i="1"/>
  <c r="O917" i="1" s="1"/>
  <c r="Z917" i="1"/>
  <c r="M919" i="1"/>
  <c r="O919" i="1" s="1"/>
  <c r="P919" i="1"/>
  <c r="Q919" i="1"/>
  <c r="Z919" i="1"/>
  <c r="M920" i="1"/>
  <c r="O920" i="1" s="1"/>
  <c r="P920" i="1"/>
  <c r="Q920" i="1"/>
  <c r="Z920" i="1"/>
  <c r="M922" i="1"/>
  <c r="O922" i="1" s="1"/>
  <c r="P922" i="1"/>
  <c r="Q922" i="1"/>
  <c r="Z922" i="1"/>
  <c r="M923" i="1"/>
  <c r="O923" i="1" s="1"/>
  <c r="P923" i="1"/>
  <c r="Q923" i="1"/>
  <c r="Z923" i="1"/>
  <c r="M924" i="1"/>
  <c r="O924" i="1" s="1"/>
  <c r="P924" i="1"/>
  <c r="Q924" i="1"/>
  <c r="Z924" i="1"/>
  <c r="M925" i="1"/>
  <c r="O925" i="1" s="1"/>
  <c r="P925" i="1"/>
  <c r="Q925" i="1"/>
  <c r="Z925" i="1"/>
  <c r="M927" i="1"/>
  <c r="O927" i="1" s="1"/>
  <c r="P927" i="1"/>
  <c r="Q927" i="1"/>
  <c r="Z927" i="1"/>
  <c r="M928" i="1"/>
  <c r="O928" i="1" s="1"/>
  <c r="Z928" i="1"/>
  <c r="M929" i="1"/>
  <c r="O929" i="1" s="1"/>
  <c r="P929" i="1"/>
  <c r="Q929" i="1"/>
  <c r="Z929" i="1"/>
  <c r="M930" i="1"/>
  <c r="O930" i="1" s="1"/>
  <c r="P930" i="1"/>
  <c r="Q930" i="1"/>
  <c r="Z930" i="1"/>
  <c r="M931" i="1"/>
  <c r="O931" i="1" s="1"/>
  <c r="P931" i="1"/>
  <c r="Q931" i="1"/>
  <c r="Z931" i="1"/>
  <c r="M932" i="1"/>
  <c r="O932" i="1" s="1"/>
  <c r="P932" i="1"/>
  <c r="Q932" i="1"/>
  <c r="Z932" i="1"/>
  <c r="M934" i="1"/>
  <c r="O934" i="1" s="1"/>
  <c r="Z934" i="1"/>
  <c r="M935" i="1"/>
  <c r="O935" i="1" s="1"/>
  <c r="Z935" i="1"/>
  <c r="M936" i="1"/>
  <c r="O936" i="1" s="1"/>
  <c r="Z936" i="1"/>
  <c r="M937" i="1"/>
  <c r="O937" i="1" s="1"/>
  <c r="Z937" i="1"/>
  <c r="M938" i="1"/>
  <c r="O938" i="1" s="1"/>
  <c r="P938" i="1"/>
  <c r="Q938" i="1"/>
  <c r="Z938" i="1"/>
  <c r="M942" i="1"/>
  <c r="O942" i="1" s="1"/>
  <c r="P942" i="1"/>
  <c r="Q942" i="1"/>
  <c r="Z942" i="1"/>
  <c r="M943" i="1"/>
  <c r="O943" i="1" s="1"/>
  <c r="P943" i="1"/>
  <c r="Q943" i="1"/>
  <c r="Z943" i="1"/>
  <c r="M944" i="1"/>
  <c r="O944" i="1" s="1"/>
  <c r="P944" i="1"/>
  <c r="Q944" i="1"/>
  <c r="Z944" i="1"/>
  <c r="M946" i="1"/>
  <c r="O946" i="1"/>
  <c r="P946" i="1"/>
  <c r="Q946" i="1"/>
  <c r="Z946" i="1"/>
  <c r="M947" i="1"/>
  <c r="O947" i="1" s="1"/>
  <c r="P947" i="1"/>
  <c r="Q947" i="1"/>
  <c r="Z947" i="1"/>
  <c r="M949" i="1"/>
  <c r="O949" i="1" s="1"/>
  <c r="P949" i="1"/>
  <c r="Q949" i="1"/>
  <c r="Z949" i="1"/>
  <c r="M951" i="1"/>
  <c r="O951" i="1" s="1"/>
  <c r="P951" i="1"/>
  <c r="Q951" i="1"/>
  <c r="Z951" i="1"/>
  <c r="M952" i="1"/>
  <c r="O952" i="1" s="1"/>
  <c r="P952" i="1"/>
  <c r="Q952" i="1"/>
  <c r="Z952" i="1"/>
  <c r="M954" i="1"/>
  <c r="O954" i="1" s="1"/>
  <c r="P954" i="1"/>
  <c r="Q954" i="1"/>
  <c r="Z954" i="1"/>
  <c r="M955" i="1"/>
  <c r="O955" i="1" s="1"/>
  <c r="P955" i="1"/>
  <c r="Q955" i="1"/>
  <c r="Z955" i="1"/>
  <c r="M956" i="1"/>
  <c r="O956" i="1" s="1"/>
  <c r="P956" i="1"/>
  <c r="Q956" i="1"/>
  <c r="Z956" i="1"/>
  <c r="M957" i="1"/>
  <c r="O957" i="1" s="1"/>
  <c r="P957" i="1"/>
  <c r="Q957" i="1"/>
  <c r="Z957" i="1"/>
  <c r="M959" i="1"/>
  <c r="O959" i="1" s="1"/>
  <c r="P959" i="1"/>
  <c r="Q959" i="1"/>
  <c r="Z959" i="1"/>
  <c r="M960" i="1"/>
  <c r="O960" i="1" s="1"/>
  <c r="P960" i="1"/>
  <c r="Q960" i="1"/>
  <c r="Z960" i="1"/>
  <c r="M961" i="1"/>
  <c r="O961" i="1" s="1"/>
  <c r="P961" i="1"/>
  <c r="Q961" i="1"/>
  <c r="Z961" i="1"/>
  <c r="M962" i="1"/>
  <c r="O962" i="1" s="1"/>
  <c r="P962" i="1"/>
  <c r="Q962" i="1"/>
  <c r="Z962" i="1"/>
  <c r="M964" i="1"/>
  <c r="O964" i="1" s="1"/>
  <c r="P964" i="1"/>
  <c r="Q964" i="1"/>
  <c r="Z964" i="1"/>
  <c r="M965" i="1"/>
  <c r="O965" i="1" s="1"/>
  <c r="P965" i="1"/>
  <c r="Q965" i="1"/>
  <c r="Z965" i="1"/>
  <c r="M967" i="1"/>
  <c r="O967" i="1" s="1"/>
  <c r="P967" i="1"/>
  <c r="Q967" i="1"/>
  <c r="Z967" i="1"/>
  <c r="M968" i="1"/>
  <c r="O968" i="1" s="1"/>
  <c r="P968" i="1"/>
  <c r="Q968" i="1"/>
  <c r="Z968" i="1"/>
  <c r="M970" i="1"/>
  <c r="O970" i="1" s="1"/>
  <c r="P970" i="1"/>
  <c r="Q970" i="1"/>
  <c r="Z970" i="1"/>
  <c r="M971" i="1"/>
  <c r="O971" i="1" s="1"/>
  <c r="P971" i="1"/>
  <c r="Q971" i="1"/>
  <c r="Z971" i="1"/>
  <c r="M973" i="1"/>
  <c r="O973" i="1" s="1"/>
  <c r="P973" i="1"/>
  <c r="Q973" i="1"/>
  <c r="Z973" i="1"/>
  <c r="M974" i="1"/>
  <c r="O974" i="1" s="1"/>
  <c r="P974" i="1"/>
  <c r="Q974" i="1"/>
  <c r="Z974" i="1"/>
  <c r="M975" i="1"/>
  <c r="O975" i="1" s="1"/>
  <c r="P975" i="1"/>
  <c r="Q975" i="1"/>
  <c r="Z975" i="1"/>
  <c r="M976" i="1"/>
  <c r="O976" i="1" s="1"/>
  <c r="P976" i="1"/>
  <c r="Q976" i="1"/>
  <c r="Z976" i="1"/>
  <c r="M978" i="1"/>
  <c r="O978" i="1" s="1"/>
  <c r="P978" i="1"/>
  <c r="Q978" i="1"/>
  <c r="Z978" i="1"/>
  <c r="M979" i="1"/>
  <c r="O979" i="1" s="1"/>
  <c r="P979" i="1"/>
  <c r="Q979" i="1"/>
  <c r="Z979" i="1"/>
  <c r="M982" i="1"/>
  <c r="O982" i="1" s="1"/>
  <c r="P982" i="1"/>
  <c r="Q982" i="1"/>
  <c r="Z982" i="1"/>
  <c r="M983" i="1"/>
  <c r="O983" i="1" s="1"/>
  <c r="P983" i="1"/>
  <c r="Q983" i="1"/>
  <c r="Z983" i="1"/>
  <c r="M984" i="1"/>
  <c r="O984" i="1" s="1"/>
  <c r="P984" i="1"/>
  <c r="Q984" i="1"/>
  <c r="Z984" i="1"/>
  <c r="M985" i="1"/>
  <c r="O985" i="1" s="1"/>
  <c r="P985" i="1"/>
  <c r="Q985" i="1"/>
  <c r="Z985" i="1"/>
  <c r="M986" i="1"/>
  <c r="O986" i="1" s="1"/>
  <c r="P986" i="1"/>
  <c r="Q986" i="1"/>
  <c r="Z986" i="1"/>
  <c r="M987" i="1"/>
  <c r="O987" i="1" s="1"/>
  <c r="P987" i="1"/>
  <c r="Q987" i="1"/>
  <c r="Z987" i="1"/>
  <c r="M988" i="1"/>
  <c r="O988" i="1" s="1"/>
  <c r="P988" i="1"/>
  <c r="Q988" i="1"/>
  <c r="Z988" i="1"/>
  <c r="M989" i="1"/>
  <c r="O989" i="1" s="1"/>
  <c r="P989" i="1"/>
  <c r="Q989" i="1"/>
  <c r="Z989" i="1"/>
  <c r="M991" i="1"/>
  <c r="O991" i="1" s="1"/>
  <c r="P991" i="1"/>
  <c r="Q991" i="1"/>
  <c r="Z991" i="1"/>
  <c r="M993" i="1"/>
  <c r="O993" i="1" s="1"/>
  <c r="P993" i="1"/>
  <c r="Q993" i="1"/>
  <c r="Z993" i="1"/>
  <c r="M994" i="1"/>
  <c r="O994" i="1" s="1"/>
  <c r="P994" i="1"/>
  <c r="Q994" i="1"/>
  <c r="Z994" i="1"/>
  <c r="M995" i="1"/>
  <c r="O995" i="1" s="1"/>
  <c r="P995" i="1"/>
  <c r="Q995" i="1"/>
  <c r="Z995" i="1"/>
  <c r="M996" i="1"/>
  <c r="O996" i="1" s="1"/>
  <c r="P996" i="1"/>
  <c r="Q996" i="1"/>
  <c r="Z996" i="1"/>
  <c r="M999" i="1"/>
  <c r="O999" i="1" s="1"/>
  <c r="P999" i="1"/>
  <c r="Q999" i="1"/>
  <c r="Z999" i="1"/>
  <c r="M1000" i="1"/>
  <c r="O1000" i="1" s="1"/>
  <c r="P1000" i="1"/>
  <c r="Q1000" i="1"/>
  <c r="Z1000" i="1"/>
  <c r="M1001" i="1"/>
  <c r="O1001" i="1" s="1"/>
  <c r="P1001" i="1"/>
  <c r="Q1001" i="1"/>
  <c r="Z1001" i="1"/>
  <c r="M1002" i="1"/>
  <c r="O1002" i="1" s="1"/>
  <c r="P1002" i="1"/>
  <c r="Q1002" i="1"/>
  <c r="Z1002" i="1"/>
  <c r="M1004" i="1"/>
  <c r="O1004" i="1" s="1"/>
  <c r="P1004" i="1"/>
  <c r="Q1004" i="1"/>
  <c r="Z1004" i="1"/>
  <c r="M1005" i="1"/>
  <c r="O1005" i="1" s="1"/>
  <c r="P1005" i="1"/>
  <c r="Q1005" i="1"/>
  <c r="Z1005" i="1"/>
  <c r="M1007" i="1"/>
  <c r="O1007" i="1" s="1"/>
  <c r="P1007" i="1"/>
  <c r="Q1007" i="1"/>
  <c r="Z1007" i="1"/>
  <c r="M1008" i="1"/>
  <c r="O1008" i="1" s="1"/>
  <c r="P1008" i="1"/>
  <c r="Q1008" i="1"/>
  <c r="Z1008" i="1"/>
  <c r="M1009" i="1"/>
  <c r="O1009" i="1" s="1"/>
  <c r="P1009" i="1"/>
  <c r="Q1009" i="1"/>
  <c r="Z1009" i="1"/>
  <c r="M1010" i="1"/>
  <c r="O1010" i="1" s="1"/>
  <c r="P1010" i="1"/>
  <c r="Q1010" i="1"/>
  <c r="Z1010" i="1"/>
  <c r="M1012" i="1"/>
  <c r="O1012" i="1" s="1"/>
  <c r="P1012" i="1"/>
  <c r="Q1012" i="1"/>
  <c r="Z1012" i="1"/>
  <c r="M1013" i="1"/>
  <c r="O1013" i="1" s="1"/>
  <c r="P1013" i="1"/>
  <c r="Q1013" i="1"/>
  <c r="Z1013" i="1"/>
  <c r="M1014" i="1"/>
  <c r="O1014" i="1" s="1"/>
  <c r="P1014" i="1"/>
  <c r="Q1014" i="1"/>
  <c r="Z1014" i="1"/>
  <c r="M1015" i="1"/>
  <c r="O1015" i="1" s="1"/>
  <c r="P1015" i="1"/>
  <c r="Q1015" i="1"/>
  <c r="Z1015" i="1"/>
  <c r="M1017" i="1"/>
  <c r="O1017" i="1" s="1"/>
  <c r="P1017" i="1"/>
  <c r="Q1017" i="1"/>
  <c r="Z1017" i="1"/>
  <c r="M1018" i="1"/>
  <c r="O1018" i="1" s="1"/>
  <c r="P1018" i="1"/>
  <c r="Q1018" i="1"/>
  <c r="Z1018" i="1"/>
  <c r="M1019" i="1"/>
  <c r="O1019" i="1" s="1"/>
  <c r="P1019" i="1"/>
  <c r="Q1019" i="1"/>
  <c r="Z1019" i="1"/>
  <c r="M1020" i="1"/>
  <c r="O1020" i="1" s="1"/>
  <c r="P1020" i="1"/>
  <c r="Q1020" i="1"/>
  <c r="Z1020" i="1"/>
  <c r="M1021" i="1"/>
  <c r="O1021" i="1" s="1"/>
  <c r="P1021" i="1"/>
  <c r="Q1021" i="1"/>
  <c r="Z1021" i="1"/>
  <c r="M1022" i="1"/>
  <c r="O1022" i="1" s="1"/>
  <c r="P1022" i="1"/>
  <c r="Q1022" i="1"/>
  <c r="Z1022" i="1"/>
  <c r="M1023" i="1"/>
  <c r="O1023" i="1" s="1"/>
  <c r="P1023" i="1"/>
  <c r="Q1023" i="1"/>
  <c r="Z1023" i="1"/>
  <c r="M1024" i="1"/>
  <c r="O1024" i="1" s="1"/>
  <c r="P1024" i="1"/>
  <c r="Q1024" i="1"/>
  <c r="Z1024" i="1"/>
  <c r="M1025" i="1"/>
  <c r="O1025" i="1" s="1"/>
  <c r="P1025" i="1"/>
  <c r="Q1025" i="1"/>
  <c r="Z1025" i="1"/>
  <c r="M1026" i="1"/>
  <c r="O1026" i="1" s="1"/>
  <c r="P1026" i="1"/>
  <c r="Q1026" i="1"/>
  <c r="Z1026" i="1"/>
  <c r="M1027" i="1"/>
  <c r="O1027" i="1" s="1"/>
  <c r="P1027" i="1"/>
  <c r="Q1027" i="1"/>
  <c r="Z1027" i="1"/>
  <c r="M1028" i="1"/>
  <c r="O1028" i="1" s="1"/>
  <c r="P1028" i="1"/>
  <c r="Q1028" i="1"/>
  <c r="Z1028" i="1"/>
  <c r="M1030" i="1"/>
  <c r="O1030" i="1" s="1"/>
  <c r="P1030" i="1"/>
  <c r="Q1030" i="1"/>
  <c r="Z1030" i="1"/>
  <c r="M1031" i="1"/>
  <c r="O1031" i="1" s="1"/>
  <c r="P1031" i="1"/>
  <c r="Q1031" i="1"/>
  <c r="Z1031" i="1"/>
  <c r="M1032" i="1"/>
  <c r="O1032" i="1" s="1"/>
  <c r="P1032" i="1"/>
  <c r="Q1032" i="1"/>
  <c r="Z1032" i="1"/>
  <c r="M1033" i="1"/>
  <c r="O1033" i="1" s="1"/>
  <c r="P1033" i="1"/>
  <c r="Q1033" i="1"/>
  <c r="Z1033" i="1"/>
  <c r="M1035" i="1"/>
  <c r="O1035" i="1" s="1"/>
  <c r="P1035" i="1"/>
  <c r="Q1035" i="1"/>
  <c r="Z1035" i="1"/>
  <c r="M1036" i="1"/>
  <c r="O1036" i="1" s="1"/>
  <c r="P1036" i="1"/>
  <c r="Q1036" i="1"/>
  <c r="Z1036" i="1"/>
  <c r="M1037" i="1"/>
  <c r="O1037" i="1" s="1"/>
  <c r="P1037" i="1"/>
  <c r="Q1037" i="1"/>
  <c r="Z1037" i="1"/>
  <c r="M1039" i="1"/>
  <c r="O1039" i="1" s="1"/>
  <c r="P1039" i="1"/>
  <c r="Q1039" i="1"/>
  <c r="Z1039" i="1"/>
  <c r="M1040" i="1"/>
  <c r="O1040" i="1" s="1"/>
  <c r="P1040" i="1"/>
  <c r="Q1040" i="1"/>
  <c r="Z1040" i="1"/>
  <c r="M1041" i="1"/>
  <c r="O1041" i="1" s="1"/>
  <c r="P1041" i="1"/>
  <c r="Q1041" i="1"/>
  <c r="Z1041" i="1"/>
  <c r="M1042" i="1"/>
  <c r="O1042" i="1" s="1"/>
  <c r="P1042" i="1"/>
  <c r="Q1042" i="1"/>
  <c r="Z1042" i="1"/>
  <c r="M1044" i="1"/>
  <c r="O1044" i="1" s="1"/>
  <c r="P1044" i="1"/>
  <c r="Q1044" i="1"/>
  <c r="Z1044" i="1"/>
  <c r="M1045" i="1"/>
  <c r="O1045" i="1" s="1"/>
  <c r="P1045" i="1"/>
  <c r="Q1045" i="1"/>
  <c r="Z1045" i="1"/>
  <c r="M1046" i="1"/>
  <c r="O1046" i="1" s="1"/>
  <c r="P1046" i="1"/>
  <c r="Q1046" i="1"/>
  <c r="Z1046" i="1"/>
  <c r="M1047" i="1"/>
  <c r="O1047" i="1" s="1"/>
  <c r="P1047" i="1"/>
  <c r="Q1047" i="1"/>
  <c r="Z1047" i="1"/>
  <c r="M1049" i="1"/>
  <c r="O1049" i="1" s="1"/>
  <c r="Z1049" i="1"/>
  <c r="M1050" i="1"/>
  <c r="O1050" i="1" s="1"/>
  <c r="Z1050" i="1"/>
  <c r="M1051" i="1"/>
  <c r="O1051" i="1" s="1"/>
  <c r="Z1051" i="1"/>
  <c r="M1052" i="1"/>
  <c r="O1052" i="1" s="1"/>
  <c r="Z1052" i="1"/>
  <c r="M1053" i="1"/>
  <c r="O1053" i="1" s="1"/>
  <c r="Z1053" i="1"/>
  <c r="M1054" i="1"/>
  <c r="O1054" i="1" s="1"/>
  <c r="Z1054" i="1"/>
  <c r="M1055" i="1"/>
  <c r="O1055" i="1" s="1"/>
  <c r="P1055" i="1"/>
  <c r="Q1055" i="1"/>
  <c r="Z1055" i="1"/>
  <c r="M1057" i="1"/>
  <c r="O1057" i="1" s="1"/>
  <c r="P1057" i="1"/>
  <c r="Q1057" i="1"/>
  <c r="Z1057" i="1"/>
  <c r="M1058" i="1"/>
  <c r="O1058" i="1" s="1"/>
  <c r="P1058" i="1"/>
  <c r="Q1058" i="1"/>
  <c r="Z1058" i="1"/>
  <c r="M1060" i="1"/>
  <c r="O1060" i="1" s="1"/>
  <c r="P1060" i="1"/>
  <c r="Q1060" i="1"/>
  <c r="Z1060" i="1"/>
  <c r="M1061" i="1"/>
  <c r="O1061" i="1" s="1"/>
  <c r="P1061" i="1"/>
  <c r="Q1061" i="1"/>
  <c r="Z1061" i="1"/>
  <c r="M1062" i="1"/>
  <c r="O1062" i="1" s="1"/>
  <c r="P1062" i="1"/>
  <c r="Q1062" i="1"/>
  <c r="Z1062" i="1"/>
  <c r="M1063" i="1"/>
  <c r="O1063" i="1" s="1"/>
  <c r="P1063" i="1"/>
  <c r="Q1063" i="1"/>
  <c r="Z1063" i="1"/>
  <c r="M1064" i="1"/>
  <c r="O1064" i="1" s="1"/>
  <c r="P1064" i="1"/>
  <c r="Q1064" i="1"/>
  <c r="Z1064" i="1"/>
  <c r="M1065" i="1"/>
  <c r="O1065" i="1" s="1"/>
  <c r="P1065" i="1"/>
  <c r="Q1065" i="1"/>
  <c r="Z1065" i="1"/>
  <c r="M1066" i="1"/>
  <c r="O1066" i="1" s="1"/>
  <c r="P1066" i="1"/>
  <c r="Q1066" i="1"/>
  <c r="Z1066" i="1"/>
  <c r="M1068" i="1"/>
  <c r="O1068" i="1" s="1"/>
  <c r="P1068" i="1"/>
  <c r="Q1068" i="1"/>
  <c r="Z1068" i="1"/>
  <c r="M1069" i="1"/>
  <c r="O1069" i="1" s="1"/>
  <c r="P1069" i="1"/>
  <c r="Q1069" i="1"/>
  <c r="Z1069" i="1"/>
  <c r="M1071" i="1"/>
  <c r="O1071" i="1" s="1"/>
  <c r="P1071" i="1"/>
  <c r="Q1071" i="1"/>
  <c r="Z1071" i="1"/>
  <c r="M1072" i="1"/>
  <c r="O1072" i="1" s="1"/>
  <c r="P1072" i="1"/>
  <c r="Q1072" i="1"/>
  <c r="Z1072" i="1"/>
  <c r="M1073" i="1"/>
  <c r="O1073" i="1" s="1"/>
  <c r="P1073" i="1"/>
  <c r="Q1073" i="1"/>
  <c r="Z1073" i="1"/>
  <c r="M1074" i="1"/>
  <c r="O1074" i="1" s="1"/>
  <c r="P1074" i="1"/>
  <c r="Q1074" i="1"/>
  <c r="Z1074" i="1"/>
  <c r="M1076" i="1"/>
  <c r="O1076" i="1" s="1"/>
  <c r="P1076" i="1"/>
  <c r="Q1076" i="1"/>
  <c r="Z1076" i="1"/>
  <c r="M1077" i="1"/>
  <c r="O1077" i="1" s="1"/>
  <c r="P1077" i="1"/>
  <c r="Q1077" i="1"/>
  <c r="Z1077" i="1"/>
  <c r="M1078" i="1"/>
  <c r="O1078" i="1" s="1"/>
  <c r="P1078" i="1"/>
  <c r="Q1078" i="1"/>
  <c r="Z1078" i="1"/>
  <c r="M1079" i="1"/>
  <c r="O1079" i="1" s="1"/>
  <c r="P1079" i="1"/>
  <c r="Q1079" i="1"/>
  <c r="Z1079" i="1"/>
  <c r="M1081" i="1"/>
  <c r="O1081" i="1" s="1"/>
  <c r="P1081" i="1"/>
  <c r="Q1081" i="1"/>
  <c r="Z1081" i="1"/>
  <c r="M1084" i="1"/>
  <c r="O1084" i="1" s="1"/>
  <c r="P1084" i="1"/>
  <c r="Q1084" i="1"/>
  <c r="Z1084" i="1"/>
  <c r="M1085" i="1"/>
  <c r="O1085" i="1" s="1"/>
  <c r="P1085" i="1"/>
  <c r="Q1085" i="1"/>
  <c r="Z1085" i="1"/>
  <c r="M1087" i="1"/>
  <c r="O1087" i="1" s="1"/>
  <c r="P1087" i="1"/>
  <c r="Q1087" i="1"/>
  <c r="Z1087" i="1"/>
  <c r="M1088" i="1"/>
  <c r="O1088" i="1" s="1"/>
  <c r="P1088" i="1"/>
  <c r="Q1088" i="1"/>
  <c r="Z1088" i="1"/>
  <c r="M1089" i="1"/>
  <c r="O1089" i="1" s="1"/>
  <c r="P1089" i="1"/>
  <c r="Q1089" i="1"/>
  <c r="Z1089" i="1"/>
  <c r="M1090" i="1"/>
  <c r="O1090" i="1" s="1"/>
  <c r="P1090" i="1"/>
  <c r="Q1090" i="1"/>
  <c r="Z1090" i="1"/>
  <c r="M1091" i="1"/>
  <c r="O1091" i="1" s="1"/>
  <c r="P1091" i="1"/>
  <c r="Q1091" i="1"/>
  <c r="Z1091" i="1"/>
  <c r="M1092" i="1"/>
  <c r="O1092" i="1" s="1"/>
  <c r="P1092" i="1"/>
  <c r="Q1092" i="1"/>
  <c r="Z1092" i="1"/>
  <c r="M1093" i="1"/>
  <c r="O1093" i="1" s="1"/>
  <c r="P1093" i="1"/>
  <c r="Q1093" i="1"/>
  <c r="Z1093" i="1"/>
  <c r="M1094" i="1"/>
  <c r="O1094" i="1" s="1"/>
  <c r="P1094" i="1"/>
  <c r="Q1094" i="1"/>
  <c r="Z1094" i="1"/>
  <c r="M1095" i="1"/>
  <c r="O1095" i="1" s="1"/>
  <c r="P1095" i="1"/>
  <c r="Q1095" i="1"/>
  <c r="Z1095" i="1"/>
  <c r="M1096" i="1"/>
  <c r="O1096" i="1" s="1"/>
  <c r="P1096" i="1"/>
  <c r="Q1096" i="1"/>
  <c r="Z1096" i="1"/>
  <c r="M1097" i="1"/>
  <c r="O1097" i="1" s="1"/>
  <c r="P1097" i="1"/>
  <c r="Q1097" i="1"/>
  <c r="Z1097" i="1"/>
  <c r="M1098" i="1"/>
  <c r="O1098" i="1" s="1"/>
  <c r="P1098" i="1"/>
  <c r="Q1098" i="1"/>
  <c r="Z1098" i="1"/>
  <c r="M1099" i="1"/>
  <c r="O1099" i="1" s="1"/>
  <c r="P1099" i="1"/>
  <c r="Q1099" i="1"/>
  <c r="Z1099" i="1"/>
  <c r="M1101" i="1"/>
  <c r="O1101" i="1" s="1"/>
  <c r="P1101" i="1"/>
  <c r="Q1101" i="1"/>
  <c r="Z1101" i="1"/>
  <c r="M1102" i="1"/>
  <c r="O1102" i="1" s="1"/>
  <c r="P1102" i="1"/>
  <c r="Q1102" i="1"/>
  <c r="Z1102" i="1"/>
  <c r="M1103" i="1"/>
  <c r="O1103" i="1" s="1"/>
  <c r="P1103" i="1"/>
  <c r="Q1103" i="1"/>
  <c r="Z1103" i="1"/>
  <c r="M1104" i="1"/>
  <c r="O1104" i="1" s="1"/>
  <c r="P1104" i="1"/>
  <c r="Q1104" i="1"/>
  <c r="Z1104" i="1"/>
  <c r="M1106" i="1"/>
  <c r="O1106" i="1" s="1"/>
  <c r="P1106" i="1"/>
  <c r="Q1106" i="1"/>
  <c r="Z1106" i="1"/>
  <c r="M1107" i="1"/>
  <c r="O1107" i="1" s="1"/>
  <c r="P1107" i="1"/>
  <c r="Q1107" i="1"/>
  <c r="Z1107" i="1"/>
  <c r="M1108" i="1"/>
  <c r="O1108" i="1" s="1"/>
  <c r="P1108" i="1"/>
  <c r="Q1108" i="1"/>
  <c r="Z1108" i="1"/>
  <c r="M1110" i="1"/>
  <c r="O1110" i="1" s="1"/>
  <c r="P1110" i="1"/>
  <c r="Q1110" i="1"/>
  <c r="Z1110" i="1"/>
  <c r="M1111" i="1"/>
  <c r="O1111" i="1" s="1"/>
  <c r="P1111" i="1"/>
  <c r="Q1111" i="1"/>
  <c r="Z1111" i="1"/>
  <c r="M1112" i="1"/>
  <c r="O1112" i="1" s="1"/>
  <c r="P1112" i="1"/>
  <c r="Q1112" i="1"/>
  <c r="Z1112" i="1"/>
  <c r="M1113" i="1"/>
  <c r="O1113" i="1" s="1"/>
  <c r="P1113" i="1"/>
  <c r="Q1113" i="1"/>
  <c r="Z1113" i="1"/>
  <c r="M1114" i="1"/>
  <c r="O1114" i="1" s="1"/>
  <c r="P1114" i="1"/>
  <c r="Q1114" i="1"/>
  <c r="Z1114" i="1"/>
  <c r="M1115" i="1"/>
  <c r="O1115" i="1" s="1"/>
  <c r="P1115" i="1"/>
  <c r="Q1115" i="1"/>
  <c r="Z1115" i="1"/>
  <c r="M1116" i="1"/>
  <c r="O1116" i="1" s="1"/>
  <c r="P1116" i="1"/>
  <c r="Q1116" i="1"/>
  <c r="Z1116" i="1"/>
  <c r="M1117" i="1"/>
  <c r="O1117" i="1" s="1"/>
  <c r="P1117" i="1"/>
  <c r="Q1117" i="1"/>
  <c r="Z1117" i="1"/>
  <c r="M1119" i="1"/>
  <c r="O1119" i="1" s="1"/>
  <c r="P1119" i="1"/>
  <c r="Q1119" i="1"/>
  <c r="Z1119" i="1"/>
  <c r="M1120" i="1"/>
  <c r="O1120" i="1" s="1"/>
  <c r="P1120" i="1"/>
  <c r="Q1120" i="1"/>
  <c r="Z1120" i="1"/>
  <c r="M1121" i="1"/>
  <c r="O1121" i="1" s="1"/>
  <c r="P1121" i="1"/>
  <c r="Q1121" i="1"/>
  <c r="Z1121" i="1"/>
  <c r="M1122" i="1"/>
  <c r="O1122" i="1" s="1"/>
  <c r="P1122" i="1"/>
  <c r="Q1122" i="1"/>
  <c r="Z1122" i="1"/>
  <c r="M1123" i="1"/>
  <c r="O1123" i="1" s="1"/>
  <c r="P1123" i="1"/>
  <c r="Q1123" i="1"/>
  <c r="Z1123" i="1"/>
  <c r="M1124" i="1"/>
  <c r="O1124" i="1" s="1"/>
  <c r="P1124" i="1"/>
  <c r="Q1124" i="1"/>
  <c r="Z1124" i="1"/>
  <c r="M1125" i="1"/>
  <c r="O1125" i="1" s="1"/>
  <c r="P1125" i="1"/>
  <c r="Q1125" i="1"/>
  <c r="Z1125" i="1"/>
  <c r="M1126" i="1"/>
  <c r="O1126" i="1" s="1"/>
  <c r="P1126" i="1"/>
  <c r="Q1126" i="1"/>
  <c r="Z1126" i="1"/>
  <c r="M1128" i="1"/>
  <c r="O1128" i="1" s="1"/>
  <c r="Z1128" i="1"/>
  <c r="M1129" i="1"/>
  <c r="O1129" i="1" s="1"/>
  <c r="Z1129" i="1"/>
  <c r="M1130" i="1"/>
  <c r="O1130" i="1" s="1"/>
  <c r="Z1130" i="1"/>
  <c r="M1132" i="1"/>
  <c r="O1132" i="1" s="1"/>
  <c r="P1132" i="1"/>
  <c r="Q1132" i="1"/>
  <c r="Z1132" i="1"/>
  <c r="M1133" i="1"/>
  <c r="O1133" i="1" s="1"/>
  <c r="P1133" i="1"/>
  <c r="Q1133" i="1"/>
  <c r="Z1133" i="1"/>
  <c r="M1135" i="1"/>
  <c r="O1135" i="1" s="1"/>
  <c r="P1135" i="1"/>
  <c r="Q1135" i="1"/>
  <c r="Z1135" i="1"/>
  <c r="M1137" i="1"/>
  <c r="O1137" i="1" s="1"/>
  <c r="P1137" i="1"/>
  <c r="Q1137" i="1"/>
  <c r="Z1137" i="1"/>
  <c r="M1138" i="1"/>
  <c r="O1138" i="1" s="1"/>
  <c r="P1138" i="1"/>
  <c r="Q1138" i="1"/>
  <c r="Z1138" i="1"/>
  <c r="M1140" i="1"/>
  <c r="O1140" i="1" s="1"/>
  <c r="P1140" i="1"/>
  <c r="Q1140" i="1"/>
  <c r="Z1140" i="1"/>
  <c r="M1141" i="1"/>
  <c r="O1141" i="1" s="1"/>
  <c r="P1141" i="1"/>
  <c r="Q1141" i="1"/>
  <c r="Z1141" i="1"/>
  <c r="M1142" i="1"/>
  <c r="O1142" i="1" s="1"/>
  <c r="P1142" i="1"/>
  <c r="Q1142" i="1"/>
  <c r="Z1142" i="1"/>
  <c r="M1143" i="1"/>
  <c r="O1143" i="1" s="1"/>
  <c r="P1143" i="1"/>
  <c r="Q1143" i="1"/>
  <c r="Z1143" i="1"/>
  <c r="M1145" i="1"/>
  <c r="O1145" i="1" s="1"/>
  <c r="P1145" i="1"/>
  <c r="Q1145" i="1"/>
  <c r="Z1145" i="1"/>
  <c r="M1146" i="1"/>
  <c r="O1146" i="1" s="1"/>
  <c r="P1146" i="1"/>
  <c r="Q1146" i="1"/>
  <c r="Z1146" i="1"/>
  <c r="M1147" i="1"/>
  <c r="O1147" i="1" s="1"/>
  <c r="P1147" i="1"/>
  <c r="Q1147" i="1"/>
  <c r="Z1147" i="1"/>
  <c r="M1149" i="1"/>
  <c r="O1149" i="1" s="1"/>
  <c r="P1149" i="1"/>
  <c r="Q1149" i="1"/>
  <c r="Z1149" i="1"/>
  <c r="M1150" i="1"/>
  <c r="O1150" i="1" s="1"/>
  <c r="P1150" i="1"/>
  <c r="Q1150" i="1"/>
  <c r="Z1150" i="1"/>
  <c r="M1152" i="1"/>
  <c r="O1152" i="1" s="1"/>
  <c r="P1152" i="1"/>
  <c r="Q1152" i="1"/>
  <c r="Z1152" i="1"/>
  <c r="M1153" i="1"/>
  <c r="O1153" i="1" s="1"/>
  <c r="P1153" i="1"/>
  <c r="Q1153" i="1"/>
  <c r="Z1153" i="1"/>
  <c r="M1155" i="1"/>
  <c r="O1155" i="1" s="1"/>
  <c r="P1155" i="1"/>
  <c r="Q1155" i="1"/>
  <c r="Z1155" i="1"/>
  <c r="M1156" i="1"/>
  <c r="O1156" i="1" s="1"/>
  <c r="P1156" i="1"/>
  <c r="Q1156" i="1"/>
  <c r="Z1156" i="1"/>
  <c r="M1158" i="1"/>
  <c r="O1158" i="1" s="1"/>
  <c r="P1158" i="1"/>
  <c r="Q1158" i="1"/>
  <c r="Z1158" i="1"/>
  <c r="M1159" i="1"/>
  <c r="O1159" i="1" s="1"/>
  <c r="P1159" i="1"/>
  <c r="Q1159" i="1"/>
  <c r="Z1159" i="1"/>
  <c r="M1160" i="1"/>
  <c r="O1160" i="1" s="1"/>
  <c r="Z1160" i="1"/>
  <c r="M1161" i="1"/>
  <c r="O1161" i="1" s="1"/>
  <c r="Z1161" i="1"/>
  <c r="M1162" i="1"/>
  <c r="O1162" i="1" s="1"/>
  <c r="Z1162" i="1"/>
  <c r="M1163" i="1"/>
  <c r="O1163" i="1" s="1"/>
  <c r="P1163" i="1"/>
  <c r="Q1163" i="1"/>
  <c r="Z1163" i="1"/>
  <c r="M1165" i="1"/>
  <c r="O1165" i="1" s="1"/>
  <c r="P1165" i="1"/>
  <c r="Q1165" i="1"/>
  <c r="Z1165" i="1"/>
  <c r="M1166" i="1"/>
  <c r="O1166" i="1" s="1"/>
  <c r="P1166" i="1"/>
  <c r="Q1166" i="1"/>
  <c r="Z1166" i="1"/>
  <c r="M1167" i="1"/>
  <c r="O1167" i="1" s="1"/>
  <c r="P1167" i="1"/>
  <c r="Q1167" i="1"/>
  <c r="Z1167" i="1"/>
  <c r="M1168" i="1"/>
  <c r="O1168" i="1" s="1"/>
  <c r="P1168" i="1"/>
  <c r="Q1168" i="1"/>
  <c r="Z1168" i="1"/>
  <c r="M1170" i="1"/>
  <c r="O1170" i="1" s="1"/>
  <c r="P1170" i="1"/>
  <c r="Q1170" i="1"/>
  <c r="Z1170" i="1"/>
  <c r="M1171" i="1"/>
  <c r="O1171" i="1" s="1"/>
  <c r="P1171" i="1"/>
  <c r="Q1171" i="1"/>
  <c r="Z1171" i="1"/>
  <c r="M1173" i="1"/>
  <c r="O1173" i="1" s="1"/>
  <c r="P1173" i="1"/>
  <c r="Q1173" i="1"/>
  <c r="Z1173" i="1"/>
  <c r="M1174" i="1"/>
  <c r="O1174" i="1" s="1"/>
  <c r="P1174" i="1"/>
  <c r="Q1174" i="1"/>
  <c r="Z1174" i="1"/>
  <c r="M1177" i="1"/>
  <c r="O1177" i="1" s="1"/>
  <c r="P1177" i="1"/>
  <c r="Q1177" i="1"/>
  <c r="Z1177" i="1"/>
  <c r="M1179" i="1"/>
  <c r="O1179" i="1" s="1"/>
  <c r="P1179" i="1"/>
  <c r="Q1179" i="1"/>
  <c r="Z1179" i="1"/>
  <c r="M1181" i="1"/>
  <c r="O1181" i="1" s="1"/>
  <c r="Z1181" i="1"/>
  <c r="M1183" i="1"/>
  <c r="O1183" i="1" s="1"/>
  <c r="P1183" i="1"/>
  <c r="Q1183" i="1"/>
  <c r="Z1183" i="1"/>
  <c r="M1185" i="1"/>
  <c r="O1185" i="1" s="1"/>
  <c r="P1185" i="1"/>
  <c r="Q1185" i="1"/>
  <c r="Z1185" i="1"/>
  <c r="M1186" i="1"/>
  <c r="O1186" i="1" s="1"/>
  <c r="P1186" i="1"/>
  <c r="Q1186" i="1"/>
  <c r="Z1186" i="1"/>
  <c r="M1187" i="1"/>
  <c r="O1187" i="1" s="1"/>
  <c r="P1187" i="1"/>
  <c r="Q1187" i="1"/>
  <c r="Z1187" i="1"/>
  <c r="M1189" i="1"/>
  <c r="O1189" i="1" s="1"/>
  <c r="Z1189" i="1"/>
  <c r="M1190" i="1"/>
  <c r="O1190" i="1" s="1"/>
  <c r="Z1190" i="1"/>
  <c r="M1192" i="1"/>
  <c r="O1192" i="1" s="1"/>
  <c r="P1192" i="1"/>
  <c r="Q1192" i="1"/>
  <c r="Z1192" i="1"/>
  <c r="M1193" i="1"/>
  <c r="O1193" i="1" s="1"/>
  <c r="P1193" i="1"/>
  <c r="Q1193" i="1"/>
  <c r="Z1193" i="1"/>
  <c r="M1195" i="1"/>
  <c r="O1195" i="1" s="1"/>
  <c r="P1195" i="1"/>
  <c r="Q1195" i="1"/>
  <c r="Z1195" i="1"/>
  <c r="M1196" i="1"/>
  <c r="O1196" i="1" s="1"/>
  <c r="P1196" i="1"/>
  <c r="Q1196" i="1"/>
  <c r="Z1196" i="1"/>
  <c r="M1197" i="1"/>
  <c r="O1197" i="1" s="1"/>
  <c r="P1197" i="1"/>
  <c r="Q1197" i="1"/>
  <c r="Z1197" i="1"/>
  <c r="M1198" i="1"/>
  <c r="O1198" i="1" s="1"/>
  <c r="P1198" i="1"/>
  <c r="Q1198" i="1"/>
  <c r="Z1198" i="1"/>
  <c r="M1200" i="1"/>
  <c r="O1200" i="1" s="1"/>
  <c r="P1200" i="1"/>
  <c r="Q1200" i="1"/>
  <c r="Z1200" i="1"/>
  <c r="M1201" i="1"/>
  <c r="O1201" i="1" s="1"/>
  <c r="P1201" i="1"/>
  <c r="Q1201" i="1"/>
  <c r="Z1201" i="1"/>
  <c r="M1202" i="1"/>
  <c r="O1202" i="1" s="1"/>
  <c r="P1202" i="1"/>
  <c r="Q1202" i="1"/>
  <c r="Z1202" i="1"/>
  <c r="M1203" i="1"/>
  <c r="O1203" i="1" s="1"/>
  <c r="P1203" i="1"/>
  <c r="Q1203" i="1"/>
  <c r="Z1203" i="1"/>
  <c r="M1205" i="1"/>
  <c r="O1205" i="1" s="1"/>
  <c r="P1205" i="1"/>
  <c r="Q1205" i="1"/>
  <c r="Z1205" i="1"/>
  <c r="M1206" i="1"/>
  <c r="O1206" i="1" s="1"/>
  <c r="P1206" i="1"/>
  <c r="Q1206" i="1"/>
  <c r="Z1206" i="1"/>
  <c r="M1208" i="1"/>
  <c r="O1208" i="1" s="1"/>
  <c r="P1208" i="1"/>
  <c r="Q1208" i="1"/>
  <c r="Z1208" i="1"/>
  <c r="M1209" i="1"/>
  <c r="O1209" i="1" s="1"/>
  <c r="Z1209" i="1"/>
  <c r="M1211" i="1"/>
  <c r="O1211" i="1" s="1"/>
  <c r="P1211" i="1"/>
  <c r="Q1211" i="1"/>
  <c r="Z1211" i="1"/>
  <c r="M1212" i="1"/>
  <c r="O1212" i="1" s="1"/>
  <c r="P1212" i="1"/>
  <c r="Q1212" i="1"/>
  <c r="Z1212" i="1"/>
  <c r="M1214" i="1"/>
  <c r="O1214" i="1" s="1"/>
  <c r="P1214" i="1"/>
  <c r="Q1214" i="1"/>
  <c r="Z1214" i="1"/>
  <c r="M1215" i="1"/>
  <c r="O1215" i="1" s="1"/>
  <c r="P1215" i="1"/>
  <c r="Q1215" i="1"/>
  <c r="Z1215" i="1"/>
  <c r="M1216" i="1"/>
  <c r="O1216" i="1" s="1"/>
  <c r="P1216" i="1"/>
  <c r="Q1216" i="1"/>
  <c r="Z1216" i="1"/>
  <c r="M1217" i="1"/>
  <c r="O1217" i="1" s="1"/>
  <c r="P1217" i="1"/>
  <c r="Q1217" i="1"/>
  <c r="Z1217" i="1"/>
  <c r="M1218" i="1"/>
  <c r="O1218" i="1" s="1"/>
  <c r="P1218" i="1"/>
  <c r="Q1218" i="1"/>
  <c r="Z1218" i="1"/>
  <c r="M1219" i="1"/>
  <c r="O1219" i="1" s="1"/>
  <c r="P1219" i="1"/>
  <c r="Q1219" i="1"/>
  <c r="Z1219" i="1"/>
  <c r="M1220" i="1"/>
  <c r="O1220" i="1" s="1"/>
  <c r="P1220" i="1"/>
  <c r="Q1220" i="1"/>
  <c r="Z1220" i="1"/>
  <c r="M1221" i="1"/>
  <c r="O1221" i="1" s="1"/>
  <c r="P1221" i="1"/>
  <c r="Q1221" i="1"/>
  <c r="Z1221" i="1"/>
  <c r="M1223" i="1"/>
  <c r="O1223" i="1" s="1"/>
  <c r="P1223" i="1"/>
  <c r="Q1223" i="1"/>
  <c r="Z1223" i="1"/>
  <c r="M1224" i="1"/>
  <c r="O1224" i="1" s="1"/>
  <c r="P1224" i="1"/>
  <c r="Q1224" i="1"/>
  <c r="Z1224" i="1"/>
  <c r="M1225" i="1"/>
  <c r="O1225" i="1" s="1"/>
  <c r="P1225" i="1"/>
  <c r="Q1225" i="1"/>
  <c r="Z1225" i="1"/>
  <c r="M1226" i="1"/>
  <c r="O1226" i="1" s="1"/>
  <c r="P1226" i="1"/>
  <c r="Q1226" i="1"/>
  <c r="Z1226" i="1"/>
  <c r="M1228" i="1"/>
  <c r="O1228" i="1" s="1"/>
  <c r="P1228" i="1"/>
  <c r="Q1228" i="1"/>
  <c r="Z1228" i="1"/>
  <c r="M1229" i="1"/>
  <c r="O1229" i="1" s="1"/>
  <c r="P1229" i="1"/>
  <c r="Q1229" i="1"/>
  <c r="Z1229" i="1"/>
  <c r="M1230" i="1"/>
  <c r="O1230" i="1" s="1"/>
  <c r="P1230" i="1"/>
  <c r="Q1230" i="1"/>
  <c r="Z1230" i="1"/>
  <c r="M1231" i="1"/>
  <c r="O1231" i="1" s="1"/>
  <c r="P1231" i="1"/>
  <c r="Q1231" i="1"/>
  <c r="Z1231" i="1"/>
  <c r="M1233" i="1"/>
  <c r="O1233" i="1" s="1"/>
  <c r="P1233" i="1"/>
  <c r="Q1233" i="1"/>
  <c r="Z1233" i="1"/>
  <c r="M1234" i="1"/>
  <c r="O1234" i="1" s="1"/>
  <c r="P1234" i="1"/>
  <c r="Q1234" i="1"/>
  <c r="Z1234" i="1"/>
  <c r="M1235" i="1"/>
  <c r="O1235" i="1" s="1"/>
  <c r="P1235" i="1"/>
  <c r="Q1235" i="1"/>
  <c r="Z1235" i="1"/>
  <c r="M1236" i="1"/>
  <c r="O1236" i="1" s="1"/>
  <c r="P1236" i="1"/>
  <c r="Q1236" i="1"/>
  <c r="Z1236" i="1"/>
  <c r="M1238" i="1"/>
  <c r="O1238" i="1" s="1"/>
  <c r="P1238" i="1"/>
  <c r="Q1238" i="1"/>
  <c r="Z1238" i="1"/>
  <c r="M1239" i="1"/>
  <c r="O1239" i="1" s="1"/>
  <c r="P1239" i="1"/>
  <c r="Q1239" i="1"/>
  <c r="Z1239" i="1"/>
  <c r="M1240" i="1"/>
  <c r="O1240" i="1" s="1"/>
  <c r="P1240" i="1"/>
  <c r="Q1240" i="1"/>
  <c r="Z1240" i="1"/>
  <c r="M1241" i="1"/>
  <c r="O1241" i="1" s="1"/>
  <c r="P1241" i="1"/>
  <c r="Q1241" i="1"/>
  <c r="Z1241" i="1"/>
  <c r="M1242" i="1"/>
  <c r="O1242" i="1" s="1"/>
  <c r="P1242" i="1"/>
  <c r="Q1242" i="1"/>
  <c r="Z1242" i="1"/>
  <c r="M1243" i="1"/>
  <c r="O1243" i="1" s="1"/>
  <c r="P1243" i="1"/>
  <c r="Q1243" i="1"/>
  <c r="Z1243" i="1"/>
  <c r="M1244" i="1"/>
  <c r="O1244" i="1" s="1"/>
  <c r="P1244" i="1"/>
  <c r="Q1244" i="1"/>
  <c r="Z1244" i="1"/>
  <c r="M1245" i="1"/>
  <c r="O1245" i="1" s="1"/>
  <c r="P1245" i="1"/>
  <c r="Q1245" i="1"/>
  <c r="Z1245" i="1"/>
  <c r="M1247" i="1"/>
  <c r="O1247" i="1" s="1"/>
  <c r="P1247" i="1"/>
  <c r="Q1247" i="1"/>
  <c r="Z1247" i="1"/>
  <c r="M1248" i="1"/>
  <c r="O1248" i="1" s="1"/>
  <c r="P1248" i="1"/>
  <c r="Q1248" i="1"/>
  <c r="Z1248" i="1"/>
  <c r="M1250" i="1"/>
  <c r="O1250" i="1" s="1"/>
  <c r="P1250" i="1"/>
  <c r="Q1250" i="1"/>
  <c r="Z1250" i="1"/>
  <c r="M1251" i="1"/>
  <c r="O1251" i="1" s="1"/>
  <c r="P1251" i="1"/>
  <c r="Q1251" i="1"/>
  <c r="Z1251" i="1"/>
  <c r="M1252" i="1"/>
  <c r="O1252" i="1" s="1"/>
  <c r="P1252" i="1"/>
  <c r="Q1252" i="1"/>
  <c r="Z1252" i="1"/>
  <c r="M1253" i="1"/>
  <c r="O1253" i="1" s="1"/>
  <c r="P1253" i="1"/>
  <c r="Q1253" i="1"/>
  <c r="Z1253" i="1"/>
  <c r="M1254" i="1"/>
  <c r="O1254" i="1" s="1"/>
  <c r="P1254" i="1"/>
  <c r="Q1254" i="1"/>
  <c r="Z1254" i="1"/>
  <c r="M1255" i="1"/>
  <c r="O1255" i="1" s="1"/>
  <c r="P1255" i="1"/>
  <c r="Q1255" i="1"/>
  <c r="Z1255" i="1"/>
  <c r="M1256" i="1"/>
  <c r="O1256" i="1" s="1"/>
  <c r="P1256" i="1"/>
  <c r="Q1256" i="1"/>
  <c r="Z1256" i="1"/>
  <c r="M1257" i="1"/>
  <c r="O1257" i="1" s="1"/>
  <c r="P1257" i="1"/>
  <c r="Q1257" i="1"/>
  <c r="Z1257" i="1"/>
  <c r="M1258" i="1"/>
  <c r="O1258" i="1" s="1"/>
  <c r="P1258" i="1"/>
  <c r="Q1258" i="1"/>
  <c r="Z1258" i="1"/>
  <c r="M1259" i="1"/>
  <c r="O1259" i="1" s="1"/>
  <c r="P1259" i="1"/>
  <c r="Q1259" i="1"/>
  <c r="Z1259" i="1"/>
  <c r="M1260" i="1"/>
  <c r="O1260" i="1" s="1"/>
  <c r="P1260" i="1"/>
  <c r="Q1260" i="1"/>
  <c r="Z1260" i="1"/>
  <c r="M1261" i="1"/>
  <c r="O1261" i="1" s="1"/>
  <c r="P1261" i="1"/>
  <c r="Q1261" i="1"/>
  <c r="Z1261" i="1"/>
  <c r="M1263" i="1"/>
  <c r="O1263" i="1"/>
  <c r="P1263" i="1"/>
  <c r="Q1263" i="1"/>
  <c r="Z1263" i="1"/>
  <c r="M1265" i="1"/>
  <c r="O1265" i="1" s="1"/>
  <c r="P1265" i="1"/>
  <c r="Q1265" i="1"/>
  <c r="Z1265" i="1"/>
  <c r="M1266" i="1"/>
  <c r="O1266" i="1" s="1"/>
  <c r="P1266" i="1"/>
  <c r="Q1266" i="1"/>
  <c r="Z1266" i="1"/>
  <c r="M1267" i="1"/>
  <c r="O1267" i="1" s="1"/>
  <c r="P1267" i="1"/>
  <c r="Q1267" i="1"/>
  <c r="Z1267" i="1"/>
  <c r="M1268" i="1"/>
  <c r="O1268" i="1" s="1"/>
  <c r="P1268" i="1"/>
  <c r="Q1268" i="1"/>
  <c r="Z1268" i="1"/>
  <c r="M1270" i="1"/>
  <c r="O1270" i="1" s="1"/>
  <c r="P1270" i="1"/>
  <c r="Q1270" i="1"/>
  <c r="Z1270" i="1"/>
  <c r="M1271" i="1"/>
  <c r="O1271" i="1" s="1"/>
  <c r="Z1271" i="1"/>
  <c r="M1272" i="1"/>
  <c r="O1272" i="1" s="1"/>
  <c r="Z1272" i="1"/>
  <c r="M1274" i="1"/>
  <c r="O1274" i="1" s="1"/>
  <c r="Z1274" i="1"/>
  <c r="M1275" i="1"/>
  <c r="O1275" i="1" s="1"/>
  <c r="Z1275" i="1"/>
  <c r="M1276" i="1"/>
  <c r="O1276" i="1" s="1"/>
  <c r="Z1276" i="1"/>
  <c r="M1277" i="1"/>
  <c r="O1277" i="1" s="1"/>
  <c r="Z1277" i="1"/>
  <c r="M1278" i="1"/>
  <c r="O1278" i="1" s="1"/>
  <c r="Z1278" i="1"/>
  <c r="M1279" i="1"/>
  <c r="O1279" i="1" s="1"/>
  <c r="Z1279" i="1"/>
  <c r="M1280" i="1"/>
  <c r="O1280" i="1" s="1"/>
  <c r="P1280" i="1"/>
  <c r="Q1280" i="1"/>
  <c r="Z1280" i="1"/>
  <c r="M1281" i="1"/>
  <c r="O1281" i="1" s="1"/>
  <c r="Z1281" i="1"/>
  <c r="M1282" i="1"/>
  <c r="O1282" i="1" s="1"/>
  <c r="Z1282" i="1"/>
  <c r="M1283" i="1"/>
  <c r="O1283" i="1" s="1"/>
  <c r="Z1283" i="1"/>
  <c r="M1284" i="1"/>
  <c r="O1284" i="1" s="1"/>
  <c r="Z1284" i="1"/>
  <c r="M1285" i="1"/>
  <c r="O1285" i="1" s="1"/>
  <c r="Z1285" i="1"/>
  <c r="O1287" i="1"/>
  <c r="P1287" i="1"/>
  <c r="Q1287" i="1"/>
  <c r="Z1287" i="1"/>
  <c r="O1288" i="1"/>
  <c r="P1288" i="1"/>
  <c r="Q1288" i="1"/>
  <c r="Z1288" i="1"/>
  <c r="M1290" i="1"/>
  <c r="O1290" i="1" s="1"/>
  <c r="P1290" i="1"/>
  <c r="Q1290" i="1"/>
  <c r="Z1290" i="1"/>
  <c r="M1291" i="1"/>
  <c r="O1291" i="1" s="1"/>
  <c r="P1291" i="1"/>
  <c r="Q1291" i="1"/>
  <c r="Z1291" i="1"/>
  <c r="M1292" i="1"/>
  <c r="O1292" i="1" s="1"/>
  <c r="P1292" i="1"/>
  <c r="Q1292" i="1"/>
  <c r="Z1292" i="1"/>
  <c r="M1293" i="1"/>
  <c r="O1293" i="1" s="1"/>
  <c r="P1293" i="1"/>
  <c r="Q1293" i="1"/>
  <c r="Z1293" i="1"/>
  <c r="M1294" i="1"/>
  <c r="O1294" i="1" s="1"/>
  <c r="P1294" i="1"/>
  <c r="Q1294" i="1"/>
  <c r="Z1294" i="1"/>
  <c r="M1295" i="1"/>
  <c r="O1295" i="1" s="1"/>
  <c r="P1295" i="1"/>
  <c r="Q1295" i="1"/>
  <c r="Z1295" i="1"/>
  <c r="M1296" i="1"/>
  <c r="O1296" i="1" s="1"/>
  <c r="P1296" i="1"/>
  <c r="Q1296" i="1"/>
  <c r="Z1296" i="1"/>
  <c r="M1297" i="1"/>
  <c r="O1297" i="1" s="1"/>
  <c r="P1297" i="1"/>
  <c r="Q1297" i="1"/>
  <c r="Z1297" i="1"/>
  <c r="M1298" i="1"/>
  <c r="O1298" i="1" s="1"/>
  <c r="P1298" i="1"/>
  <c r="Q1298" i="1"/>
  <c r="Z1298" i="1"/>
  <c r="M1299" i="1"/>
  <c r="O1299" i="1" s="1"/>
  <c r="P1299" i="1"/>
  <c r="Q1299" i="1"/>
  <c r="Z1299" i="1"/>
  <c r="M1300" i="1"/>
  <c r="O1300" i="1" s="1"/>
  <c r="P1300" i="1"/>
  <c r="Q1300" i="1"/>
  <c r="Z1300" i="1"/>
  <c r="M1302" i="1"/>
  <c r="O1302" i="1" s="1"/>
  <c r="P1302" i="1"/>
  <c r="Q1302" i="1"/>
  <c r="Z1302" i="1"/>
  <c r="M1303" i="1"/>
  <c r="O1303" i="1" s="1"/>
  <c r="P1303" i="1"/>
  <c r="Q1303" i="1"/>
  <c r="Z1303" i="1"/>
  <c r="M1305" i="1"/>
  <c r="O1305" i="1" s="1"/>
  <c r="P1305" i="1"/>
  <c r="Q1305" i="1"/>
  <c r="Z1305" i="1"/>
  <c r="M1306" i="1"/>
  <c r="O1306" i="1" s="1"/>
  <c r="P1306" i="1"/>
  <c r="Q1306" i="1"/>
  <c r="Z1306" i="1"/>
  <c r="M1307" i="1"/>
  <c r="O1307" i="1" s="1"/>
  <c r="P1307" i="1"/>
  <c r="Q1307" i="1"/>
  <c r="Z1307" i="1"/>
  <c r="M1308" i="1"/>
  <c r="O1308" i="1" s="1"/>
  <c r="P1308" i="1"/>
  <c r="Q1308" i="1"/>
  <c r="Z1308" i="1"/>
  <c r="M1310" i="1"/>
  <c r="O1310" i="1" s="1"/>
  <c r="Z1310" i="1"/>
  <c r="M1312" i="1"/>
  <c r="O1312" i="1" s="1"/>
  <c r="Z1312" i="1"/>
  <c r="M1313" i="1"/>
  <c r="O1313" i="1" s="1"/>
  <c r="P1313" i="1"/>
  <c r="Q1313" i="1"/>
  <c r="Z1313" i="1"/>
  <c r="M1314" i="1"/>
  <c r="O1314" i="1" s="1"/>
  <c r="Z1314" i="1"/>
  <c r="M1315" i="1"/>
  <c r="O1315" i="1" s="1"/>
  <c r="Z1315" i="1"/>
  <c r="M1317" i="1"/>
  <c r="O1317" i="1" s="1"/>
  <c r="P1317" i="1"/>
  <c r="Q1317" i="1"/>
  <c r="Z1317" i="1"/>
  <c r="M1318" i="1"/>
  <c r="O1318" i="1" s="1"/>
  <c r="P1318" i="1"/>
  <c r="Q1318" i="1"/>
  <c r="Z1318" i="1"/>
  <c r="M1319" i="1"/>
  <c r="O1319" i="1" s="1"/>
  <c r="P1319" i="1"/>
  <c r="Q1319" i="1"/>
  <c r="Z1319" i="1"/>
  <c r="M1320" i="1"/>
  <c r="O1320" i="1" s="1"/>
  <c r="P1320" i="1"/>
  <c r="Q1320" i="1"/>
  <c r="Z1320" i="1"/>
  <c r="M1321" i="1"/>
  <c r="O1321" i="1" s="1"/>
  <c r="Z1321" i="1"/>
  <c r="M1323" i="1"/>
  <c r="O1323" i="1" s="1"/>
  <c r="P1323" i="1"/>
  <c r="Q1323" i="1"/>
  <c r="Z1323" i="1"/>
  <c r="M1324" i="1"/>
  <c r="O1324" i="1" s="1"/>
  <c r="P1324" i="1"/>
  <c r="Q1324" i="1"/>
  <c r="Z1324" i="1"/>
  <c r="M1328" i="1"/>
  <c r="O1328" i="1" s="1"/>
  <c r="P1328" i="1"/>
  <c r="Q1328" i="1"/>
  <c r="Z1328" i="1"/>
  <c r="M1329" i="1"/>
  <c r="O1329" i="1" s="1"/>
  <c r="P1329" i="1"/>
  <c r="Q1329" i="1"/>
  <c r="Z1329" i="1"/>
  <c r="M1330" i="1"/>
  <c r="O1330" i="1" s="1"/>
  <c r="P1330" i="1"/>
  <c r="Q1330" i="1"/>
  <c r="Z1330" i="1"/>
  <c r="M1331" i="1"/>
  <c r="O1331" i="1" s="1"/>
  <c r="P1331" i="1"/>
  <c r="Q1331" i="1"/>
  <c r="Z1331" i="1"/>
  <c r="M1332" i="1"/>
  <c r="O1332" i="1" s="1"/>
  <c r="P1332" i="1"/>
  <c r="Q1332" i="1"/>
  <c r="Z1332" i="1"/>
  <c r="M1333" i="1"/>
  <c r="O1333" i="1" s="1"/>
  <c r="P1333" i="1"/>
  <c r="Q1333" i="1"/>
  <c r="Z1333" i="1"/>
  <c r="M1336" i="1"/>
  <c r="O1336" i="1" s="1"/>
  <c r="Z1336" i="1"/>
  <c r="M1337" i="1"/>
  <c r="O1337" i="1" s="1"/>
  <c r="Z1337" i="1"/>
  <c r="M1338" i="1"/>
  <c r="O1338" i="1" s="1"/>
  <c r="Z1338" i="1"/>
  <c r="M1339" i="1"/>
  <c r="O1339" i="1" s="1"/>
  <c r="Z1339" i="1"/>
  <c r="M1340" i="1"/>
  <c r="O1340" i="1" s="1"/>
  <c r="Z1340" i="1"/>
  <c r="M1341" i="1"/>
  <c r="O1341" i="1" s="1"/>
  <c r="P1341" i="1"/>
  <c r="Q1341" i="1"/>
  <c r="Z1341" i="1"/>
  <c r="M1342" i="1"/>
  <c r="O1342" i="1" s="1"/>
  <c r="Z1342" i="1"/>
  <c r="M1343" i="1"/>
  <c r="O1343" i="1" s="1"/>
  <c r="P1343" i="1"/>
  <c r="Q1343" i="1"/>
  <c r="Z1343" i="1"/>
  <c r="M1344" i="1"/>
  <c r="O1344" i="1" s="1"/>
  <c r="Z1344" i="1"/>
  <c r="M1345" i="1"/>
  <c r="O1345" i="1" s="1"/>
  <c r="P1345" i="1"/>
  <c r="Q1345" i="1"/>
  <c r="Z1345" i="1"/>
  <c r="M1346" i="1"/>
  <c r="O1346" i="1" s="1"/>
  <c r="Z1346" i="1"/>
  <c r="M1348" i="1"/>
  <c r="O1348" i="1" s="1"/>
  <c r="P1348" i="1"/>
  <c r="Q1348" i="1"/>
  <c r="Z1348" i="1"/>
  <c r="M1349" i="1"/>
  <c r="O1349" i="1" s="1"/>
  <c r="Z1349" i="1"/>
  <c r="M1350" i="1"/>
  <c r="O1350" i="1" s="1"/>
  <c r="P1350" i="1"/>
  <c r="Q1350" i="1"/>
  <c r="Z1350" i="1"/>
  <c r="M1351" i="1"/>
  <c r="O1351" i="1" s="1"/>
  <c r="P1351" i="1"/>
  <c r="Q1351" i="1"/>
  <c r="Z1351" i="1"/>
  <c r="M1352" i="1"/>
  <c r="O1352" i="1" s="1"/>
  <c r="P1352" i="1"/>
  <c r="Q1352" i="1"/>
  <c r="Z1352" i="1"/>
  <c r="M1353" i="1"/>
  <c r="O1353" i="1" s="1"/>
  <c r="Z1353" i="1"/>
  <c r="M1354" i="1"/>
  <c r="O1354" i="1" s="1"/>
  <c r="P1354" i="1"/>
  <c r="Q1354" i="1"/>
  <c r="Z1354" i="1"/>
  <c r="M1355" i="1"/>
  <c r="O1355" i="1" s="1"/>
  <c r="P1355" i="1"/>
  <c r="Q1355" i="1"/>
  <c r="Z1355" i="1"/>
  <c r="M1356" i="1"/>
  <c r="O1356" i="1" s="1"/>
  <c r="P1356" i="1"/>
  <c r="Q1356" i="1"/>
  <c r="Z1356" i="1"/>
  <c r="M1357" i="1"/>
  <c r="O1357" i="1" s="1"/>
  <c r="P1357" i="1"/>
  <c r="Q1357" i="1"/>
  <c r="Z1357" i="1"/>
  <c r="M1358" i="1"/>
  <c r="O1358" i="1" s="1"/>
  <c r="P1358" i="1"/>
  <c r="Q1358" i="1"/>
  <c r="Z1358" i="1"/>
  <c r="M1359" i="1"/>
  <c r="O1359" i="1" s="1"/>
  <c r="Z1359" i="1"/>
  <c r="M1360" i="1"/>
  <c r="O1360" i="1" s="1"/>
  <c r="P1360" i="1"/>
  <c r="Q1360" i="1"/>
  <c r="Z1360" i="1"/>
  <c r="M1361" i="1"/>
  <c r="O1361" i="1" s="1"/>
  <c r="P1361" i="1"/>
  <c r="Q1361" i="1"/>
  <c r="Z1361" i="1"/>
  <c r="M1362" i="1"/>
  <c r="O1362" i="1" s="1"/>
  <c r="Z1362" i="1"/>
  <c r="M1363" i="1"/>
  <c r="O1363" i="1" s="1"/>
  <c r="P1363" i="1"/>
  <c r="Q1363" i="1"/>
  <c r="Z1363" i="1"/>
  <c r="M1364" i="1"/>
  <c r="O1364" i="1" s="1"/>
  <c r="P1364" i="1"/>
  <c r="Q1364" i="1"/>
  <c r="Z1364" i="1"/>
  <c r="M1365" i="1"/>
  <c r="O1365" i="1" s="1"/>
  <c r="Z1365" i="1"/>
  <c r="M1366" i="1"/>
  <c r="O1366" i="1" s="1"/>
  <c r="Z1366" i="1"/>
  <c r="M1367" i="1"/>
  <c r="O1367" i="1" s="1"/>
  <c r="P1367" i="1"/>
  <c r="Q1367" i="1"/>
  <c r="Z1367" i="1"/>
  <c r="M1368" i="1"/>
  <c r="O1368" i="1" s="1"/>
  <c r="P1368" i="1"/>
  <c r="Q1368" i="1"/>
  <c r="Z1368" i="1"/>
  <c r="M1370" i="1"/>
  <c r="O1370" i="1" s="1"/>
  <c r="P1370" i="1"/>
  <c r="Q1370" i="1"/>
  <c r="Z1370" i="1"/>
  <c r="M1371" i="1"/>
  <c r="O1371" i="1" s="1"/>
  <c r="P1371" i="1"/>
  <c r="Q1371" i="1"/>
  <c r="Z1371" i="1"/>
  <c r="M1372" i="1"/>
  <c r="O1372" i="1" s="1"/>
  <c r="Z1372" i="1"/>
  <c r="M1373" i="1"/>
  <c r="O1373" i="1" s="1"/>
  <c r="Z1373" i="1"/>
  <c r="M1374" i="1"/>
  <c r="O1374" i="1" s="1"/>
  <c r="Z1374" i="1"/>
  <c r="M1375" i="1"/>
  <c r="O1375" i="1" s="1"/>
  <c r="Z1375" i="1"/>
  <c r="M1376" i="1"/>
  <c r="O1376" i="1" s="1"/>
  <c r="P1376" i="1"/>
  <c r="Q1376" i="1"/>
  <c r="Z1376" i="1"/>
  <c r="M1377" i="1"/>
  <c r="O1377" i="1" s="1"/>
  <c r="Z1377" i="1"/>
  <c r="M1378" i="1"/>
  <c r="O1378" i="1" s="1"/>
  <c r="Z1378" i="1"/>
  <c r="M1380" i="1"/>
  <c r="O1380" i="1" s="1"/>
  <c r="P1380" i="1"/>
  <c r="Q1380" i="1"/>
  <c r="Z1380" i="1"/>
  <c r="M1381" i="1"/>
  <c r="O1381" i="1" s="1"/>
  <c r="P1381" i="1"/>
  <c r="Q1381" i="1"/>
  <c r="Z1381" i="1"/>
  <c r="M1382" i="1"/>
  <c r="O1382" i="1" s="1"/>
  <c r="P1382" i="1"/>
  <c r="Q1382" i="1"/>
  <c r="Z1382" i="1"/>
  <c r="M1383" i="1"/>
  <c r="O1383" i="1" s="1"/>
  <c r="P1383" i="1"/>
  <c r="Q1383" i="1"/>
  <c r="Z1383" i="1"/>
  <c r="M1384" i="1"/>
  <c r="O1384" i="1" s="1"/>
  <c r="P1384" i="1"/>
  <c r="Q1384" i="1"/>
  <c r="Z1384" i="1"/>
  <c r="M1386" i="1"/>
  <c r="O1386" i="1" s="1"/>
  <c r="Z1386" i="1"/>
  <c r="M1388" i="1"/>
  <c r="O1388" i="1" s="1"/>
  <c r="P1388" i="1"/>
  <c r="Q1388" i="1"/>
  <c r="Z1388" i="1"/>
  <c r="M1389" i="1"/>
  <c r="O1389" i="1" s="1"/>
  <c r="P1389" i="1"/>
  <c r="Q1389" i="1"/>
  <c r="Z1389" i="1"/>
  <c r="M1390" i="1"/>
  <c r="O1390" i="1"/>
  <c r="P1390" i="1"/>
  <c r="Q1390" i="1"/>
  <c r="Z1390" i="1"/>
  <c r="M1391" i="1"/>
  <c r="O1391" i="1" s="1"/>
  <c r="P1391" i="1"/>
  <c r="Q1391" i="1"/>
  <c r="Z1391" i="1"/>
  <c r="M1392" i="1"/>
  <c r="O1392" i="1" s="1"/>
  <c r="P1392" i="1"/>
  <c r="Q1392" i="1"/>
  <c r="Z1392" i="1"/>
  <c r="M1393" i="1"/>
  <c r="O1393" i="1" s="1"/>
  <c r="P1393" i="1"/>
  <c r="Q1393" i="1"/>
  <c r="Z1393" i="1"/>
  <c r="M1394" i="1"/>
  <c r="O1394" i="1" s="1"/>
  <c r="P1394" i="1"/>
  <c r="Q1394" i="1"/>
  <c r="Z1394" i="1"/>
  <c r="M1395" i="1"/>
  <c r="O1395" i="1" s="1"/>
  <c r="P1395" i="1"/>
  <c r="Q1395" i="1"/>
  <c r="Z1395" i="1"/>
  <c r="M1396" i="1"/>
  <c r="O1396" i="1" s="1"/>
  <c r="P1396" i="1"/>
  <c r="Q1396" i="1"/>
  <c r="Z1396" i="1"/>
  <c r="M1397" i="1"/>
  <c r="O1397" i="1" s="1"/>
  <c r="P1397" i="1"/>
  <c r="Q1397" i="1"/>
  <c r="Z1397" i="1"/>
  <c r="M1398" i="1"/>
  <c r="O1398" i="1" s="1"/>
  <c r="P1398" i="1"/>
  <c r="Q1398" i="1"/>
  <c r="Z1398" i="1"/>
  <c r="M1399" i="1"/>
  <c r="O1399" i="1" s="1"/>
  <c r="P1399" i="1"/>
  <c r="Q1399" i="1"/>
  <c r="Z1399" i="1"/>
  <c r="M1400" i="1"/>
  <c r="O1400" i="1" s="1"/>
  <c r="P1400" i="1"/>
  <c r="Q1400" i="1"/>
  <c r="Z1400" i="1"/>
  <c r="M1401" i="1"/>
  <c r="O1401" i="1" s="1"/>
  <c r="P1401" i="1"/>
  <c r="Q1401" i="1"/>
  <c r="Z1401" i="1"/>
  <c r="M1402" i="1"/>
  <c r="O1402" i="1" s="1"/>
  <c r="P1402" i="1"/>
  <c r="Q1402" i="1"/>
  <c r="Z1402" i="1"/>
  <c r="M1403" i="1"/>
  <c r="O1403" i="1" s="1"/>
  <c r="P1403" i="1"/>
  <c r="Q1403" i="1"/>
  <c r="Z1403" i="1"/>
  <c r="M1404" i="1"/>
  <c r="O1404" i="1" s="1"/>
  <c r="P1404" i="1"/>
  <c r="Q1404" i="1"/>
  <c r="Z1404" i="1"/>
  <c r="M1405" i="1"/>
  <c r="O1405" i="1" s="1"/>
  <c r="P1405" i="1"/>
  <c r="Q1405" i="1"/>
  <c r="Z1405" i="1"/>
  <c r="M1406" i="1"/>
  <c r="O1406" i="1" s="1"/>
  <c r="P1406" i="1"/>
  <c r="Q1406" i="1"/>
  <c r="Z1406" i="1"/>
  <c r="M1407" i="1"/>
  <c r="O1407" i="1" s="1"/>
  <c r="P1407" i="1"/>
  <c r="Q1407" i="1"/>
  <c r="Z1407" i="1"/>
  <c r="M1408" i="1"/>
  <c r="O1408" i="1" s="1"/>
  <c r="P1408" i="1"/>
  <c r="Q1408" i="1"/>
  <c r="Z1408" i="1"/>
  <c r="M1409" i="1"/>
  <c r="O1409" i="1" s="1"/>
  <c r="P1409" i="1"/>
  <c r="Q1409" i="1"/>
  <c r="Z1409" i="1"/>
  <c r="M1410" i="1"/>
  <c r="O1410" i="1" s="1"/>
  <c r="P1410" i="1"/>
  <c r="Q1410" i="1"/>
  <c r="Z1410" i="1"/>
  <c r="M1411" i="1"/>
  <c r="O1411" i="1" s="1"/>
  <c r="P1411" i="1"/>
  <c r="Q1411" i="1"/>
  <c r="Z1411" i="1"/>
  <c r="M1412" i="1"/>
  <c r="O1412" i="1" s="1"/>
  <c r="P1412" i="1"/>
  <c r="Q1412" i="1"/>
  <c r="Z1412" i="1"/>
  <c r="M1413" i="1"/>
  <c r="O1413" i="1" s="1"/>
  <c r="P1413" i="1"/>
  <c r="Q1413" i="1"/>
  <c r="Z1413" i="1"/>
  <c r="M1414" i="1"/>
  <c r="O1414" i="1" s="1"/>
  <c r="P1414" i="1"/>
  <c r="Q1414" i="1"/>
  <c r="Z1414" i="1"/>
  <c r="M1415" i="1"/>
  <c r="O1415" i="1" s="1"/>
  <c r="P1415" i="1"/>
  <c r="Q1415" i="1"/>
  <c r="Z1415" i="1"/>
  <c r="M1416" i="1"/>
  <c r="O1416" i="1" s="1"/>
  <c r="P1416" i="1"/>
  <c r="Q1416" i="1"/>
  <c r="Z1416" i="1"/>
  <c r="M1418" i="1"/>
  <c r="O1418" i="1" s="1"/>
  <c r="P1418" i="1"/>
  <c r="Q1418" i="1"/>
  <c r="Z1418" i="1"/>
  <c r="M1420" i="1"/>
  <c r="O1420" i="1" s="1"/>
  <c r="P1420" i="1"/>
  <c r="Q1420" i="1"/>
  <c r="Z1420" i="1"/>
  <c r="M1421" i="1"/>
  <c r="O1421" i="1" s="1"/>
  <c r="P1421" i="1"/>
  <c r="Q1421" i="1"/>
  <c r="Z1421" i="1"/>
  <c r="M1422" i="1"/>
  <c r="O1422" i="1" s="1"/>
  <c r="P1422" i="1"/>
  <c r="Q1422" i="1"/>
  <c r="Z1422" i="1"/>
  <c r="M1423" i="1"/>
  <c r="O1423" i="1" s="1"/>
  <c r="P1423" i="1"/>
  <c r="Q1423" i="1"/>
  <c r="Z1423" i="1"/>
  <c r="M1424" i="1"/>
  <c r="O1424" i="1" s="1"/>
  <c r="P1424" i="1"/>
  <c r="Q1424" i="1"/>
  <c r="Z1424" i="1"/>
  <c r="M1425" i="1"/>
  <c r="O1425" i="1" s="1"/>
  <c r="P1425" i="1"/>
  <c r="Q1425" i="1"/>
  <c r="Z1425" i="1"/>
  <c r="M1427" i="1"/>
  <c r="O1427" i="1" s="1"/>
  <c r="P1427" i="1"/>
  <c r="Q1427" i="1"/>
  <c r="Z1427" i="1"/>
  <c r="M1428" i="1"/>
  <c r="O1428" i="1" s="1"/>
  <c r="P1428" i="1"/>
  <c r="Q1428" i="1"/>
  <c r="Z1428" i="1"/>
  <c r="M1429" i="1"/>
  <c r="O1429" i="1" s="1"/>
  <c r="P1429" i="1"/>
  <c r="Q1429" i="1"/>
  <c r="Z1429" i="1"/>
  <c r="M1430" i="1"/>
  <c r="O1430" i="1" s="1"/>
  <c r="P1430" i="1"/>
  <c r="Q1430" i="1"/>
  <c r="Z1430" i="1"/>
  <c r="M1433" i="1"/>
  <c r="O1433" i="1" s="1"/>
  <c r="Z1433" i="1"/>
  <c r="M1435" i="1"/>
  <c r="O1435" i="1" s="1"/>
  <c r="P1435" i="1"/>
  <c r="Q1435" i="1"/>
  <c r="Z1435" i="1"/>
  <c r="M1437" i="1"/>
  <c r="O1437" i="1" s="1"/>
  <c r="P1437" i="1"/>
  <c r="Q1437" i="1"/>
  <c r="Z1437" i="1"/>
  <c r="M1439" i="1"/>
  <c r="O1439" i="1" s="1"/>
  <c r="Z1439" i="1"/>
  <c r="M1441" i="1"/>
  <c r="O1441" i="1" s="1"/>
  <c r="P1441" i="1"/>
  <c r="Q1441" i="1"/>
  <c r="Z1441" i="1"/>
  <c r="M1442" i="1"/>
  <c r="O1442" i="1" s="1"/>
  <c r="P1442" i="1"/>
  <c r="Q1442" i="1"/>
  <c r="Z1442" i="1"/>
  <c r="M1443" i="1"/>
  <c r="O1443" i="1" s="1"/>
  <c r="P1443" i="1"/>
  <c r="Q1443" i="1"/>
  <c r="Z1443" i="1"/>
  <c r="M1444" i="1"/>
  <c r="O1444" i="1" s="1"/>
  <c r="P1444" i="1"/>
  <c r="Q1444" i="1"/>
  <c r="Z1444" i="1"/>
  <c r="M1445" i="1"/>
  <c r="O1445" i="1" s="1"/>
  <c r="P1445" i="1"/>
  <c r="Q1445" i="1"/>
  <c r="Z1445" i="1"/>
  <c r="M1446" i="1"/>
  <c r="O1446" i="1" s="1"/>
  <c r="P1446" i="1"/>
  <c r="Q1446" i="1"/>
  <c r="Z1446" i="1"/>
  <c r="M1447" i="1"/>
  <c r="O1447" i="1" s="1"/>
  <c r="P1447" i="1"/>
  <c r="Q1447" i="1"/>
  <c r="Z1447" i="1"/>
  <c r="M1448" i="1"/>
  <c r="O1448" i="1" s="1"/>
  <c r="P1448" i="1"/>
  <c r="Q1448" i="1"/>
  <c r="Z1448" i="1"/>
  <c r="M1449" i="1"/>
  <c r="O1449" i="1" s="1"/>
  <c r="P1449" i="1"/>
  <c r="Q1449" i="1"/>
  <c r="Z1449" i="1"/>
  <c r="M1450" i="1"/>
  <c r="O1450" i="1" s="1"/>
  <c r="P1450" i="1"/>
  <c r="Q1450" i="1"/>
  <c r="Z1450" i="1"/>
  <c r="M1452" i="1"/>
  <c r="O1452" i="1" s="1"/>
  <c r="Z1452" i="1"/>
  <c r="M1454" i="1"/>
  <c r="O1454" i="1" s="1"/>
  <c r="P1454" i="1"/>
  <c r="Q1454" i="1"/>
  <c r="Z1454" i="1"/>
  <c r="M1455" i="1"/>
  <c r="O1455" i="1" s="1"/>
  <c r="P1455" i="1"/>
  <c r="Q1455" i="1"/>
  <c r="Z1455" i="1"/>
  <c r="O1457" i="1"/>
  <c r="P1457" i="1"/>
  <c r="Q1457" i="1"/>
  <c r="Z1457" i="1"/>
  <c r="O1460" i="1"/>
  <c r="P1460" i="1"/>
  <c r="Q1460" i="1"/>
  <c r="Z1460" i="1"/>
  <c r="O1461" i="1"/>
  <c r="P1461" i="1"/>
  <c r="Q1461" i="1"/>
  <c r="Z1461" i="1"/>
  <c r="O1462" i="1"/>
  <c r="P1462" i="1"/>
  <c r="Q1462" i="1"/>
  <c r="Z1462" i="1"/>
  <c r="M1464" i="1"/>
  <c r="O1464" i="1" s="1"/>
  <c r="P1464" i="1"/>
  <c r="Q1464" i="1"/>
  <c r="Z1464" i="1"/>
  <c r="M1465" i="1"/>
  <c r="O1465" i="1" s="1"/>
  <c r="P1465" i="1"/>
  <c r="Q1465" i="1"/>
  <c r="Z1465" i="1"/>
  <c r="M1466" i="1"/>
  <c r="O1466" i="1" s="1"/>
  <c r="P1466" i="1"/>
  <c r="Q1466" i="1"/>
  <c r="Z1466" i="1"/>
  <c r="M1467" i="1"/>
  <c r="O1467" i="1" s="1"/>
  <c r="P1467" i="1"/>
  <c r="Q1467" i="1"/>
  <c r="Z1467" i="1"/>
  <c r="M1468" i="1"/>
  <c r="O1468" i="1" s="1"/>
  <c r="P1468" i="1"/>
  <c r="Q1468" i="1"/>
  <c r="Z1468" i="1"/>
  <c r="M1469" i="1"/>
  <c r="O1469" i="1" s="1"/>
  <c r="P1469" i="1"/>
  <c r="Q1469" i="1"/>
  <c r="Z1469" i="1"/>
  <c r="M1470" i="1"/>
  <c r="O1470" i="1" s="1"/>
  <c r="Z1470" i="1"/>
  <c r="M1471" i="1"/>
  <c r="O1471" i="1" s="1"/>
  <c r="P1471" i="1"/>
  <c r="Q1471" i="1"/>
  <c r="Z1471" i="1"/>
  <c r="M1472" i="1"/>
  <c r="O1472" i="1" s="1"/>
  <c r="Z1472" i="1"/>
  <c r="M1473" i="1"/>
  <c r="O1473" i="1" s="1"/>
  <c r="P1473" i="1"/>
  <c r="Q1473" i="1"/>
  <c r="Z1473" i="1"/>
  <c r="M1475" i="1"/>
  <c r="O1475" i="1" s="1"/>
  <c r="P1475" i="1"/>
  <c r="Q1475" i="1"/>
  <c r="Z1475" i="1"/>
  <c r="M1476" i="1"/>
  <c r="O1476" i="1" s="1"/>
  <c r="P1476" i="1"/>
  <c r="Q1476" i="1"/>
  <c r="Z1476" i="1"/>
  <c r="M1477" i="1"/>
  <c r="O1477" i="1" s="1"/>
  <c r="P1477" i="1"/>
  <c r="Q1477" i="1"/>
  <c r="Z1477" i="1"/>
  <c r="M1478" i="1"/>
  <c r="O1478" i="1" s="1"/>
  <c r="P1478" i="1"/>
  <c r="Q1478" i="1"/>
  <c r="Z1478" i="1"/>
  <c r="M1479" i="1"/>
  <c r="O1479" i="1" s="1"/>
  <c r="P1479" i="1"/>
  <c r="Q1479" i="1"/>
  <c r="Z1479" i="1"/>
  <c r="M1480" i="1"/>
  <c r="O1480" i="1" s="1"/>
  <c r="P1480" i="1"/>
  <c r="Q1480" i="1"/>
  <c r="Z1480" i="1"/>
  <c r="M1481" i="1"/>
  <c r="O1481" i="1" s="1"/>
  <c r="P1481" i="1"/>
  <c r="Q1481" i="1"/>
  <c r="Z1481" i="1"/>
  <c r="M1483" i="1"/>
  <c r="O1483" i="1" s="1"/>
  <c r="P1483" i="1"/>
  <c r="Q1483" i="1"/>
  <c r="Z1483" i="1"/>
  <c r="M1484" i="1"/>
  <c r="O1484" i="1" s="1"/>
  <c r="P1484" i="1"/>
  <c r="Q1484" i="1"/>
  <c r="Z1484" i="1"/>
  <c r="M1485" i="1"/>
  <c r="O1485" i="1" s="1"/>
  <c r="P1485" i="1"/>
  <c r="Q1485" i="1"/>
  <c r="Z1485" i="1"/>
  <c r="M1486" i="1"/>
  <c r="O1486" i="1" s="1"/>
  <c r="P1486" i="1"/>
  <c r="Q1486" i="1"/>
  <c r="Z1486" i="1"/>
  <c r="M1487" i="1"/>
  <c r="O1487" i="1" s="1"/>
  <c r="P1487" i="1"/>
  <c r="Q1487" i="1"/>
  <c r="Z1487" i="1"/>
  <c r="M1488" i="1"/>
  <c r="O1488" i="1" s="1"/>
  <c r="P1488" i="1"/>
  <c r="Q1488" i="1"/>
  <c r="Z1488" i="1"/>
  <c r="M1489" i="1"/>
  <c r="O1489" i="1" s="1"/>
  <c r="P1489" i="1"/>
  <c r="Q1489" i="1"/>
  <c r="Z1489" i="1"/>
  <c r="M1490" i="1"/>
  <c r="O1490" i="1" s="1"/>
  <c r="P1490" i="1"/>
  <c r="Q1490" i="1"/>
  <c r="Z1490" i="1"/>
  <c r="M1491" i="1"/>
  <c r="O1491" i="1" s="1"/>
  <c r="P1491" i="1"/>
  <c r="Q1491" i="1"/>
  <c r="Z1491" i="1"/>
  <c r="M1492" i="1"/>
  <c r="O1492" i="1" s="1"/>
  <c r="P1492" i="1"/>
  <c r="Q1492" i="1"/>
  <c r="Z1492" i="1"/>
  <c r="M1493" i="1"/>
  <c r="O1493" i="1" s="1"/>
  <c r="P1493" i="1"/>
  <c r="Q1493" i="1"/>
  <c r="Z1493" i="1"/>
  <c r="M1494" i="1"/>
  <c r="O1494" i="1" s="1"/>
  <c r="P1494" i="1"/>
  <c r="Q1494" i="1"/>
  <c r="Z1494" i="1"/>
  <c r="M1495" i="1"/>
  <c r="O1495" i="1" s="1"/>
  <c r="P1495" i="1"/>
  <c r="Q1495" i="1"/>
  <c r="Z1495" i="1"/>
  <c r="M1496" i="1"/>
  <c r="O1496" i="1" s="1"/>
  <c r="P1496" i="1"/>
  <c r="Q1496" i="1"/>
  <c r="Z1496" i="1"/>
  <c r="M1497" i="1"/>
  <c r="O1497" i="1" s="1"/>
  <c r="P1497" i="1"/>
  <c r="Q1497" i="1"/>
  <c r="Z1497" i="1"/>
  <c r="M1498" i="1"/>
  <c r="O1498" i="1" s="1"/>
  <c r="P1498" i="1"/>
  <c r="Q1498" i="1"/>
  <c r="Z1498" i="1"/>
  <c r="M1499" i="1"/>
  <c r="O1499" i="1" s="1"/>
  <c r="P1499" i="1"/>
  <c r="Q1499" i="1"/>
  <c r="Z1499" i="1"/>
  <c r="M1501" i="1"/>
  <c r="O1501" i="1" s="1"/>
  <c r="P1501" i="1"/>
  <c r="Q1501" i="1"/>
  <c r="Z1501" i="1"/>
  <c r="M1502" i="1"/>
  <c r="O1502" i="1" s="1"/>
  <c r="P1502" i="1"/>
  <c r="Q1502" i="1"/>
  <c r="Z1502" i="1"/>
  <c r="M1504" i="1"/>
  <c r="O1504" i="1" s="1"/>
  <c r="P1504" i="1"/>
  <c r="Q1504" i="1"/>
  <c r="Z1504" i="1"/>
  <c r="M1505" i="1"/>
  <c r="O1505" i="1" s="1"/>
  <c r="P1505" i="1"/>
  <c r="Q1505" i="1"/>
  <c r="Z1505" i="1"/>
  <c r="M1506" i="1"/>
  <c r="O1506" i="1" s="1"/>
  <c r="P1506" i="1"/>
  <c r="Q1506" i="1"/>
  <c r="Z1506" i="1"/>
  <c r="M1507" i="1"/>
  <c r="O1507" i="1" s="1"/>
  <c r="P1507" i="1"/>
  <c r="Q1507" i="1"/>
  <c r="Z1507" i="1"/>
  <c r="M1508" i="1"/>
  <c r="O1508" i="1" s="1"/>
  <c r="P1508" i="1"/>
  <c r="Q1508" i="1"/>
  <c r="Z1508" i="1"/>
  <c r="M1509" i="1"/>
  <c r="O1509" i="1" s="1"/>
  <c r="P1509" i="1"/>
  <c r="Q1509" i="1"/>
  <c r="Z1509" i="1"/>
  <c r="M1510" i="1"/>
  <c r="O1510" i="1" s="1"/>
  <c r="Z1510" i="1"/>
  <c r="M1512" i="1"/>
  <c r="O1512" i="1" s="1"/>
  <c r="P1512" i="1"/>
  <c r="Q1512" i="1"/>
  <c r="Z1512" i="1"/>
  <c r="M1514" i="1"/>
  <c r="O1514" i="1" s="1"/>
  <c r="Z1514" i="1"/>
  <c r="M1515" i="1"/>
  <c r="O1515" i="1" s="1"/>
  <c r="Z1515" i="1"/>
  <c r="M1516" i="1"/>
  <c r="O1516" i="1" s="1"/>
  <c r="Z1516" i="1"/>
  <c r="M1517" i="1"/>
  <c r="O1517" i="1" s="1"/>
  <c r="Z1517" i="1"/>
  <c r="M1519" i="1"/>
  <c r="O1519" i="1" s="1"/>
  <c r="P1519" i="1"/>
  <c r="Q1519" i="1"/>
  <c r="Z1519" i="1"/>
  <c r="M1520" i="1"/>
  <c r="O1520" i="1" s="1"/>
  <c r="P1520" i="1"/>
  <c r="Q1520" i="1"/>
  <c r="Z1520" i="1"/>
  <c r="M1521" i="1"/>
  <c r="O1521" i="1" s="1"/>
  <c r="P1521" i="1"/>
  <c r="Q1521" i="1"/>
  <c r="Z1521" i="1"/>
  <c r="M1522" i="1"/>
  <c r="O1522" i="1" s="1"/>
  <c r="P1522" i="1"/>
  <c r="Q1522" i="1"/>
  <c r="Z1522" i="1"/>
  <c r="M1523" i="1"/>
  <c r="O1523" i="1" s="1"/>
  <c r="P1523" i="1"/>
  <c r="Q1523" i="1"/>
  <c r="Z1523" i="1"/>
  <c r="M1524" i="1"/>
  <c r="O1524" i="1" s="1"/>
  <c r="P1524" i="1"/>
  <c r="Q1524" i="1"/>
  <c r="Z1524" i="1"/>
  <c r="M1525" i="1"/>
  <c r="O1525" i="1" s="1"/>
  <c r="P1525" i="1"/>
  <c r="Q1525" i="1"/>
  <c r="Z1525" i="1"/>
  <c r="M1526" i="1"/>
  <c r="O1526" i="1" s="1"/>
  <c r="P1526" i="1"/>
  <c r="Q1526" i="1"/>
  <c r="Z1526" i="1"/>
  <c r="M1527" i="1"/>
  <c r="O1527" i="1" s="1"/>
  <c r="P1527" i="1"/>
  <c r="Q1527" i="1"/>
  <c r="Z1527" i="1"/>
  <c r="M1528" i="1"/>
  <c r="O1528" i="1" s="1"/>
  <c r="P1528" i="1"/>
  <c r="Q1528" i="1"/>
  <c r="Z1528" i="1"/>
  <c r="M1530" i="1"/>
  <c r="O1530" i="1" s="1"/>
  <c r="P1530" i="1"/>
  <c r="Q1530" i="1"/>
  <c r="Z1530" i="1"/>
  <c r="M1531" i="1"/>
  <c r="O1531" i="1" s="1"/>
  <c r="P1531" i="1"/>
  <c r="Q1531" i="1"/>
  <c r="Z1531" i="1"/>
  <c r="M1532" i="1"/>
  <c r="O1532" i="1" s="1"/>
  <c r="P1532" i="1"/>
  <c r="Q1532" i="1"/>
  <c r="Z1532" i="1"/>
  <c r="M1533" i="1"/>
  <c r="O1533" i="1" s="1"/>
  <c r="P1533" i="1"/>
  <c r="Q1533" i="1"/>
  <c r="Z1533" i="1"/>
  <c r="M1534" i="1"/>
  <c r="O1534" i="1" s="1"/>
  <c r="P1534" i="1"/>
  <c r="Q1534" i="1"/>
  <c r="Z1534" i="1"/>
  <c r="M1536" i="1"/>
  <c r="O1536" i="1" s="1"/>
  <c r="P1536" i="1"/>
  <c r="Q1536" i="1"/>
  <c r="Z1536" i="1"/>
  <c r="M1537" i="1"/>
  <c r="O1537" i="1" s="1"/>
  <c r="P1537" i="1"/>
  <c r="Q1537" i="1"/>
  <c r="Z1537" i="1"/>
  <c r="M1538" i="1"/>
  <c r="O1538" i="1" s="1"/>
  <c r="P1538" i="1"/>
  <c r="Q1538" i="1"/>
  <c r="Z1538" i="1"/>
  <c r="M1539" i="1"/>
  <c r="O1539" i="1" s="1"/>
  <c r="P1539" i="1"/>
  <c r="Q1539" i="1"/>
  <c r="Z1539" i="1"/>
  <c r="M1541" i="1"/>
  <c r="O1541" i="1" s="1"/>
  <c r="P1541" i="1"/>
  <c r="Q1541" i="1"/>
  <c r="Z1541" i="1"/>
  <c r="M1542" i="1"/>
  <c r="O1542" i="1" s="1"/>
  <c r="P1542" i="1"/>
  <c r="Q1542" i="1"/>
  <c r="Z1542" i="1"/>
  <c r="M1543" i="1"/>
  <c r="O1543" i="1" s="1"/>
  <c r="P1543" i="1"/>
  <c r="Q1543" i="1"/>
  <c r="Z1543" i="1"/>
  <c r="M1544" i="1"/>
  <c r="O1544" i="1" s="1"/>
  <c r="P1544" i="1"/>
  <c r="Q1544" i="1"/>
  <c r="Z1544" i="1"/>
  <c r="M1545" i="1"/>
  <c r="O1545" i="1" s="1"/>
  <c r="P1545" i="1"/>
  <c r="Q1545" i="1"/>
  <c r="Z1545" i="1"/>
  <c r="M1546" i="1"/>
  <c r="O1546" i="1" s="1"/>
  <c r="P1546" i="1"/>
  <c r="Q1546" i="1"/>
  <c r="Z1546" i="1"/>
  <c r="M1547" i="1"/>
  <c r="O1547" i="1" s="1"/>
  <c r="P1547" i="1"/>
  <c r="Q1547" i="1"/>
  <c r="Z1547" i="1"/>
  <c r="M1548" i="1"/>
  <c r="O1548" i="1" s="1"/>
  <c r="P1548" i="1"/>
  <c r="Q1548" i="1"/>
  <c r="Z1548" i="1"/>
  <c r="M1551" i="1"/>
  <c r="O1551" i="1" s="1"/>
  <c r="P1551" i="1"/>
  <c r="Q1551" i="1"/>
  <c r="Z1551" i="1"/>
  <c r="M1552" i="1"/>
  <c r="O1552" i="1" s="1"/>
  <c r="P1552" i="1"/>
  <c r="Q1552" i="1"/>
  <c r="Z1552" i="1"/>
  <c r="M1554" i="1"/>
  <c r="O1554" i="1" s="1"/>
  <c r="P1554" i="1"/>
  <c r="Q1554" i="1"/>
  <c r="Z1554" i="1"/>
  <c r="M1555" i="1"/>
  <c r="O1555" i="1" s="1"/>
  <c r="P1555" i="1"/>
  <c r="Q1555" i="1"/>
  <c r="Z1555" i="1"/>
  <c r="M1556" i="1"/>
  <c r="O1556" i="1" s="1"/>
  <c r="P1556" i="1"/>
  <c r="Q1556" i="1"/>
  <c r="Z1556" i="1"/>
  <c r="M1557" i="1"/>
  <c r="O1557" i="1" s="1"/>
  <c r="P1557" i="1"/>
  <c r="Q1557" i="1"/>
  <c r="Z1557" i="1"/>
  <c r="M1558" i="1"/>
  <c r="O1558" i="1" s="1"/>
  <c r="P1558" i="1"/>
  <c r="Q1558" i="1"/>
  <c r="Z1558" i="1"/>
  <c r="M1559" i="1"/>
  <c r="O1559" i="1" s="1"/>
  <c r="Z1559" i="1"/>
  <c r="M1560" i="1"/>
  <c r="O1560" i="1" s="1"/>
  <c r="Z1560" i="1"/>
  <c r="M1561" i="1"/>
  <c r="O1561" i="1" s="1"/>
  <c r="P1561" i="1"/>
  <c r="Q1561" i="1"/>
  <c r="Z1561" i="1"/>
  <c r="M1563" i="1"/>
  <c r="O1563" i="1" s="1"/>
  <c r="P1563" i="1"/>
  <c r="Q1563" i="1"/>
  <c r="Z1563" i="1"/>
  <c r="M1564" i="1"/>
  <c r="O1564" i="1" s="1"/>
  <c r="P1564" i="1"/>
  <c r="Q1564" i="1"/>
  <c r="Z1564" i="1"/>
  <c r="M1565" i="1"/>
  <c r="O1565" i="1" s="1"/>
  <c r="P1565" i="1"/>
  <c r="Q1565" i="1"/>
  <c r="Z1565" i="1"/>
  <c r="M1566" i="1"/>
  <c r="O1566" i="1" s="1"/>
  <c r="P1566" i="1"/>
  <c r="Q1566" i="1"/>
  <c r="Z1566" i="1"/>
  <c r="M1568" i="1"/>
  <c r="O1568" i="1" s="1"/>
  <c r="P1568" i="1"/>
  <c r="Q1568" i="1"/>
  <c r="Z1568" i="1"/>
  <c r="M1569" i="1"/>
  <c r="O1569" i="1" s="1"/>
  <c r="Z1569" i="1"/>
  <c r="M1570" i="1"/>
  <c r="O1570" i="1" s="1"/>
  <c r="Z1570" i="1"/>
  <c r="M1571" i="1"/>
  <c r="O1571" i="1" s="1"/>
  <c r="Z1571" i="1"/>
  <c r="M1573" i="1"/>
  <c r="O1573" i="1" s="1"/>
  <c r="P1573" i="1"/>
  <c r="Q1573" i="1"/>
  <c r="Z1573" i="1"/>
  <c r="M1575" i="1"/>
  <c r="O1575" i="1" s="1"/>
  <c r="Z1575" i="1"/>
  <c r="M1577" i="1"/>
  <c r="O1577" i="1" s="1"/>
  <c r="Z1577" i="1"/>
  <c r="M1579" i="1"/>
  <c r="O1579" i="1" s="1"/>
  <c r="P1579" i="1"/>
  <c r="Q1579" i="1"/>
  <c r="Z1579" i="1"/>
  <c r="M1580" i="1"/>
  <c r="O1580" i="1"/>
  <c r="P1580" i="1"/>
  <c r="Q1580" i="1"/>
  <c r="Z1580" i="1"/>
  <c r="M1582" i="1"/>
  <c r="O1582" i="1" s="1"/>
  <c r="P1582" i="1"/>
  <c r="Q1582" i="1"/>
  <c r="Z1582" i="1"/>
  <c r="M1584" i="1"/>
  <c r="O1584" i="1" s="1"/>
  <c r="P1584" i="1"/>
  <c r="Q1584" i="1"/>
  <c r="Z1584" i="1"/>
  <c r="M1585" i="1"/>
  <c r="O1585" i="1" s="1"/>
  <c r="Z1585" i="1"/>
  <c r="M1586" i="1"/>
  <c r="O1586" i="1" s="1"/>
  <c r="P1586" i="1"/>
  <c r="Q1586" i="1"/>
  <c r="Z1586" i="1"/>
  <c r="M1588" i="1"/>
  <c r="O1588" i="1" s="1"/>
  <c r="P1588" i="1"/>
  <c r="Q1588" i="1"/>
  <c r="Z1588" i="1"/>
  <c r="M1590" i="1"/>
  <c r="O1590" i="1" s="1"/>
  <c r="P1590" i="1"/>
  <c r="Q1590" i="1"/>
  <c r="Z1590" i="1"/>
  <c r="M1591" i="1"/>
  <c r="O1591" i="1" s="1"/>
  <c r="P1591" i="1"/>
  <c r="Q1591" i="1"/>
  <c r="Z1591" i="1"/>
  <c r="M1592" i="1"/>
  <c r="O1592" i="1" s="1"/>
  <c r="P1592" i="1"/>
  <c r="Q1592" i="1"/>
  <c r="Z1592" i="1"/>
  <c r="M1593" i="1"/>
  <c r="O1593" i="1" s="1"/>
  <c r="P1593" i="1"/>
  <c r="Q1593" i="1"/>
  <c r="Z1593" i="1"/>
  <c r="M1596" i="1"/>
  <c r="O1596" i="1" s="1"/>
  <c r="P1596" i="1"/>
  <c r="Q1596" i="1"/>
  <c r="Z1596" i="1"/>
  <c r="M1597" i="1"/>
  <c r="O1597" i="1" s="1"/>
  <c r="P1597" i="1"/>
  <c r="Q1597" i="1"/>
  <c r="Z1597" i="1"/>
  <c r="M1598" i="1"/>
  <c r="O1598" i="1" s="1"/>
  <c r="P1598" i="1"/>
  <c r="Q1598" i="1"/>
  <c r="Z1598" i="1"/>
  <c r="M1600" i="1"/>
  <c r="O1600" i="1" s="1"/>
  <c r="P1600" i="1"/>
  <c r="Q1600" i="1"/>
  <c r="Z1600" i="1"/>
  <c r="M1601" i="1"/>
  <c r="O1601" i="1" s="1"/>
  <c r="P1601" i="1"/>
  <c r="Q1601" i="1"/>
  <c r="Z1601" i="1"/>
  <c r="M1603" i="1"/>
  <c r="O1603" i="1" s="1"/>
  <c r="P1603" i="1"/>
  <c r="Q1603" i="1"/>
  <c r="Z1603" i="1"/>
  <c r="M1604" i="1"/>
  <c r="O1604" i="1" s="1"/>
  <c r="P1604" i="1"/>
  <c r="Q1604" i="1"/>
  <c r="Z1604" i="1"/>
  <c r="M1605" i="1"/>
  <c r="O1605" i="1"/>
  <c r="P1605" i="1"/>
  <c r="Q1605" i="1"/>
  <c r="Z1605" i="1"/>
  <c r="M1606" i="1"/>
  <c r="O1606" i="1" s="1"/>
  <c r="P1606" i="1"/>
  <c r="Q1606" i="1"/>
  <c r="Z1606" i="1"/>
  <c r="M1607" i="1"/>
  <c r="O1607" i="1" s="1"/>
  <c r="P1607" i="1"/>
  <c r="Q1607" i="1"/>
  <c r="Z1607" i="1"/>
  <c r="M1608" i="1"/>
  <c r="O1608" i="1" s="1"/>
  <c r="P1608" i="1"/>
  <c r="Q1608" i="1"/>
  <c r="Z1608" i="1"/>
  <c r="M1609" i="1"/>
  <c r="O1609" i="1" s="1"/>
  <c r="P1609" i="1"/>
  <c r="Q1609" i="1"/>
  <c r="Z1609" i="1"/>
  <c r="M1610" i="1"/>
  <c r="O1610" i="1" s="1"/>
  <c r="P1610" i="1"/>
  <c r="Q1610" i="1"/>
  <c r="Z1610" i="1"/>
  <c r="M1612" i="1"/>
  <c r="O1612" i="1" s="1"/>
  <c r="P1612" i="1"/>
  <c r="Q1612" i="1"/>
  <c r="Z1612" i="1"/>
  <c r="M1613" i="1"/>
  <c r="O1613" i="1" s="1"/>
  <c r="P1613" i="1"/>
  <c r="Q1613" i="1"/>
  <c r="Z1613" i="1"/>
  <c r="M1614" i="1"/>
  <c r="O1614" i="1"/>
  <c r="P1614" i="1"/>
  <c r="Q1614" i="1"/>
  <c r="Z1614" i="1"/>
  <c r="M1615" i="1"/>
  <c r="O1615" i="1" s="1"/>
  <c r="P1615" i="1"/>
  <c r="Q1615" i="1"/>
  <c r="Z1615" i="1"/>
  <c r="M1617" i="1"/>
  <c r="O1617" i="1" s="1"/>
  <c r="P1617" i="1"/>
  <c r="Q1617" i="1"/>
  <c r="Z1617" i="1"/>
  <c r="M1618" i="1"/>
  <c r="O1618" i="1" s="1"/>
  <c r="P1618" i="1"/>
  <c r="Q1618" i="1"/>
  <c r="Z1618" i="1"/>
  <c r="M1620" i="1"/>
  <c r="O1620" i="1" s="1"/>
  <c r="P1620" i="1"/>
  <c r="Q1620" i="1"/>
  <c r="Z1620" i="1"/>
  <c r="M1622" i="1"/>
  <c r="O1622" i="1" s="1"/>
  <c r="Z1622" i="1"/>
  <c r="M1624" i="1"/>
  <c r="O1624" i="1" s="1"/>
  <c r="P1624" i="1"/>
  <c r="Q1624" i="1"/>
  <c r="Z1624" i="1"/>
  <c r="M1625" i="1"/>
  <c r="O1625" i="1" s="1"/>
  <c r="P1625" i="1"/>
  <c r="Q1625" i="1"/>
  <c r="Z1625" i="1"/>
  <c r="M1627" i="1"/>
  <c r="O1627" i="1" s="1"/>
  <c r="P1627" i="1"/>
  <c r="Q1627" i="1"/>
  <c r="Z1627" i="1"/>
  <c r="M1628" i="1"/>
  <c r="O1628" i="1"/>
  <c r="P1628" i="1"/>
  <c r="Q1628" i="1"/>
  <c r="Z1628" i="1"/>
  <c r="M1629" i="1"/>
  <c r="O1629" i="1" s="1"/>
  <c r="P1629" i="1"/>
  <c r="Q1629" i="1"/>
  <c r="Z1629" i="1"/>
  <c r="M1630" i="1"/>
  <c r="O1630" i="1" s="1"/>
  <c r="P1630" i="1"/>
  <c r="Q1630" i="1"/>
  <c r="Z1630" i="1"/>
  <c r="M1632" i="1"/>
  <c r="O1632" i="1" s="1"/>
  <c r="P1632" i="1"/>
  <c r="Q1632" i="1"/>
  <c r="Z1632" i="1"/>
  <c r="M1633" i="1"/>
  <c r="O1633" i="1" s="1"/>
  <c r="P1633" i="1"/>
  <c r="Q1633" i="1"/>
  <c r="Z1633" i="1"/>
  <c r="M1635" i="1"/>
  <c r="O1635" i="1" s="1"/>
  <c r="P1635" i="1"/>
  <c r="Q1635" i="1"/>
  <c r="Z1635" i="1"/>
  <c r="M1636" i="1"/>
  <c r="O1636" i="1" s="1"/>
  <c r="P1636" i="1"/>
  <c r="Q1636" i="1"/>
  <c r="Z1636" i="1"/>
  <c r="M1638" i="1"/>
  <c r="O1638" i="1" s="1"/>
  <c r="P1638" i="1"/>
  <c r="Q1638" i="1"/>
  <c r="Z1638" i="1"/>
  <c r="M1639" i="1"/>
  <c r="O1639" i="1"/>
  <c r="P1639" i="1"/>
  <c r="Q1639" i="1"/>
  <c r="Z1639" i="1"/>
  <c r="M1640" i="1"/>
  <c r="O1640" i="1" s="1"/>
  <c r="Z1640" i="1"/>
  <c r="M1641" i="1"/>
  <c r="O1641" i="1" s="1"/>
  <c r="P1641" i="1"/>
  <c r="Q1641" i="1"/>
  <c r="Z1641" i="1"/>
  <c r="M1642" i="1"/>
  <c r="O1642" i="1" s="1"/>
  <c r="P1642" i="1"/>
  <c r="Q1642" i="1"/>
  <c r="Z1642" i="1"/>
  <c r="M1643" i="1"/>
  <c r="O1643" i="1" s="1"/>
  <c r="P1643" i="1"/>
  <c r="Q1643" i="1"/>
  <c r="Z1643" i="1"/>
  <c r="M1644" i="1"/>
  <c r="O1644" i="1" s="1"/>
  <c r="P1644" i="1"/>
  <c r="Q1644" i="1"/>
  <c r="Z1644" i="1"/>
  <c r="M1645" i="1"/>
  <c r="O1645" i="1" s="1"/>
  <c r="P1645" i="1"/>
  <c r="Q1645" i="1"/>
  <c r="Z1645" i="1"/>
  <c r="M1646" i="1"/>
  <c r="O1646" i="1"/>
  <c r="P1646" i="1"/>
  <c r="Q1646" i="1"/>
  <c r="Z1646" i="1"/>
  <c r="M1647" i="1"/>
  <c r="O1647" i="1" s="1"/>
  <c r="P1647" i="1"/>
  <c r="Q1647" i="1"/>
  <c r="Z1647" i="1"/>
  <c r="M1648" i="1"/>
  <c r="O1648" i="1" s="1"/>
  <c r="P1648" i="1"/>
  <c r="Q1648" i="1"/>
  <c r="Z1648" i="1"/>
  <c r="M1649" i="1"/>
  <c r="O1649" i="1" s="1"/>
  <c r="P1649" i="1"/>
  <c r="Q1649" i="1"/>
  <c r="Z1649" i="1"/>
  <c r="M1650" i="1"/>
  <c r="O1650" i="1" s="1"/>
  <c r="P1650" i="1"/>
  <c r="Q1650" i="1"/>
  <c r="Z1650" i="1"/>
  <c r="M1652" i="1"/>
  <c r="O1652" i="1" s="1"/>
  <c r="P1652" i="1"/>
  <c r="Q1652" i="1"/>
  <c r="Z1652" i="1"/>
  <c r="M1654" i="1"/>
  <c r="O1654" i="1"/>
  <c r="P1654" i="1"/>
  <c r="Q1654" i="1"/>
  <c r="Z1654" i="1"/>
  <c r="M1655" i="1"/>
  <c r="O1655" i="1" s="1"/>
  <c r="P1655" i="1"/>
  <c r="Q1655" i="1"/>
  <c r="Z1655" i="1"/>
  <c r="M1656" i="1"/>
  <c r="O1656" i="1" s="1"/>
  <c r="Z1656" i="1"/>
  <c r="M1657" i="1"/>
  <c r="O1657" i="1" s="1"/>
  <c r="P1657" i="1"/>
  <c r="Q1657" i="1"/>
  <c r="Z1657" i="1"/>
  <c r="M1658" i="1"/>
  <c r="O1658" i="1" s="1"/>
  <c r="Z1658" i="1"/>
  <c r="M1659" i="1"/>
  <c r="O1659" i="1" s="1"/>
  <c r="P1659" i="1"/>
  <c r="Q1659" i="1"/>
  <c r="Z1659" i="1"/>
  <c r="M1660" i="1"/>
  <c r="O1660" i="1" s="1"/>
  <c r="Z1660" i="1"/>
  <c r="M1662" i="1"/>
  <c r="O1662" i="1"/>
  <c r="P1662" i="1"/>
  <c r="Q1662" i="1"/>
  <c r="Z1662" i="1"/>
  <c r="M1663" i="1"/>
  <c r="O1663" i="1" s="1"/>
  <c r="P1663" i="1"/>
  <c r="Q1663" i="1"/>
  <c r="Z1663" i="1"/>
  <c r="M1665" i="1"/>
  <c r="O1665" i="1" s="1"/>
  <c r="P1665" i="1"/>
  <c r="Q1665" i="1"/>
  <c r="Z1665" i="1"/>
  <c r="M1666" i="1"/>
  <c r="O1666" i="1" s="1"/>
  <c r="P1666" i="1"/>
  <c r="Q1666" i="1"/>
  <c r="Z1666" i="1"/>
  <c r="M1667" i="1"/>
  <c r="O1667" i="1" s="1"/>
  <c r="P1667" i="1"/>
  <c r="Q1667" i="1"/>
  <c r="Z1667" i="1"/>
  <c r="M1668" i="1"/>
  <c r="O1668" i="1" s="1"/>
  <c r="P1668" i="1"/>
  <c r="Q1668" i="1"/>
  <c r="Z1668" i="1"/>
  <c r="M1669" i="1"/>
  <c r="O1669" i="1" s="1"/>
  <c r="P1669" i="1"/>
  <c r="Q1669" i="1"/>
  <c r="Z1669" i="1"/>
  <c r="M1670" i="1"/>
  <c r="O1670" i="1" s="1"/>
  <c r="P1670" i="1"/>
  <c r="Q1670" i="1"/>
  <c r="Z1670" i="1"/>
  <c r="M1672" i="1"/>
  <c r="O1672" i="1"/>
  <c r="Z1672" i="1"/>
  <c r="M1673" i="1"/>
  <c r="O1673" i="1" s="1"/>
  <c r="Z1673" i="1"/>
  <c r="M1674" i="1"/>
  <c r="O1674" i="1" s="1"/>
  <c r="Z1674" i="1"/>
  <c r="M1675" i="1"/>
  <c r="O1675" i="1" s="1"/>
  <c r="Z1675" i="1"/>
  <c r="M1677" i="1"/>
  <c r="O1677" i="1"/>
  <c r="P1677" i="1"/>
  <c r="Q1677" i="1"/>
  <c r="Z1677" i="1"/>
  <c r="M1678" i="1"/>
  <c r="O1678" i="1" s="1"/>
  <c r="P1678" i="1"/>
  <c r="Q1678" i="1"/>
  <c r="Z1678" i="1"/>
  <c r="O1680" i="1"/>
  <c r="P1680" i="1"/>
  <c r="Q1680" i="1"/>
  <c r="Z1680" i="1"/>
  <c r="M1682" i="1"/>
  <c r="O1682" i="1" s="1"/>
  <c r="P1682" i="1"/>
  <c r="Q1682" i="1"/>
  <c r="Z1682" i="1"/>
  <c r="M1684" i="1"/>
  <c r="O1684" i="1" s="1"/>
  <c r="Z1684" i="1"/>
  <c r="M1685" i="1"/>
  <c r="O1685" i="1" s="1"/>
  <c r="Z1685" i="1"/>
  <c r="M1687" i="1"/>
  <c r="O1687" i="1" s="1"/>
  <c r="P1687" i="1"/>
  <c r="Q1687" i="1"/>
  <c r="Z1687" i="1"/>
  <c r="M1688" i="1"/>
  <c r="O1688" i="1" s="1"/>
  <c r="P1688" i="1"/>
  <c r="Q1688" i="1"/>
  <c r="Z1688" i="1"/>
  <c r="M1689" i="1"/>
  <c r="O1689" i="1" s="1"/>
  <c r="P1689" i="1"/>
  <c r="Q1689" i="1"/>
  <c r="Z1689" i="1"/>
  <c r="M1691" i="1"/>
  <c r="O1691" i="1" s="1"/>
  <c r="P1691" i="1"/>
  <c r="Q1691" i="1"/>
  <c r="Z1691" i="1"/>
  <c r="M1692" i="1"/>
  <c r="O1692" i="1" s="1"/>
  <c r="Z1692" i="1"/>
  <c r="M1693" i="1"/>
  <c r="O1693" i="1" s="1"/>
  <c r="Z1693" i="1"/>
  <c r="M1694" i="1"/>
  <c r="O1694" i="1" s="1"/>
  <c r="Z1694" i="1"/>
  <c r="M1696" i="1"/>
  <c r="O1696" i="1" s="1"/>
  <c r="P1696" i="1"/>
  <c r="Q1696" i="1"/>
  <c r="Z1696" i="1"/>
  <c r="M1697" i="1"/>
  <c r="O1697" i="1" s="1"/>
  <c r="P1697" i="1"/>
  <c r="Q1697" i="1"/>
  <c r="Z1697" i="1"/>
  <c r="M1698" i="1"/>
  <c r="O1698" i="1" s="1"/>
  <c r="P1698" i="1"/>
  <c r="Q1698" i="1"/>
  <c r="Z1698" i="1"/>
  <c r="M1699" i="1"/>
  <c r="O1699" i="1" s="1"/>
  <c r="P1699" i="1"/>
  <c r="Q1699" i="1"/>
  <c r="Z1699" i="1"/>
  <c r="M1701" i="1"/>
  <c r="O1701" i="1" s="1"/>
  <c r="P1701" i="1"/>
  <c r="Q1701" i="1"/>
  <c r="Z1701" i="1"/>
  <c r="M1702" i="1"/>
  <c r="O1702" i="1"/>
  <c r="P1702" i="1"/>
  <c r="Q1702" i="1"/>
  <c r="Z1702" i="1"/>
  <c r="M1703" i="1"/>
  <c r="O1703" i="1" s="1"/>
  <c r="P1703" i="1"/>
  <c r="Q1703" i="1"/>
  <c r="Z1703" i="1"/>
  <c r="M1704" i="1"/>
  <c r="O1704" i="1" s="1"/>
  <c r="P1704" i="1"/>
  <c r="Q1704" i="1"/>
  <c r="Z1704" i="1"/>
  <c r="M1706" i="1"/>
  <c r="O1706" i="1" s="1"/>
  <c r="P1706" i="1"/>
  <c r="Q1706" i="1"/>
  <c r="Z1706" i="1"/>
  <c r="M1707" i="1"/>
  <c r="O1707" i="1" s="1"/>
  <c r="P1707" i="1"/>
  <c r="Q1707" i="1"/>
  <c r="Z1707" i="1"/>
  <c r="M1709" i="1"/>
  <c r="O1709" i="1" s="1"/>
  <c r="P1709" i="1"/>
  <c r="Q1709" i="1"/>
  <c r="Z1709" i="1"/>
  <c r="M1710" i="1"/>
  <c r="O1710" i="1" s="1"/>
  <c r="P1710" i="1"/>
  <c r="Q1710" i="1"/>
  <c r="Z1710" i="1"/>
  <c r="M1711" i="1"/>
  <c r="O1711" i="1" s="1"/>
  <c r="P1711" i="1"/>
  <c r="Q1711" i="1"/>
  <c r="Z1711" i="1"/>
  <c r="M1712" i="1"/>
  <c r="O1712" i="1" s="1"/>
  <c r="P1712" i="1"/>
  <c r="Q1712" i="1"/>
  <c r="Z1712" i="1"/>
  <c r="M1713" i="1"/>
  <c r="O1713" i="1" s="1"/>
  <c r="P1713" i="1"/>
  <c r="Q1713" i="1"/>
  <c r="Z1713" i="1"/>
  <c r="M1714" i="1"/>
  <c r="O1714" i="1" s="1"/>
  <c r="P1714" i="1"/>
  <c r="Q1714" i="1"/>
  <c r="Z1714" i="1"/>
  <c r="M1715" i="1"/>
  <c r="O1715" i="1" s="1"/>
  <c r="P1715" i="1"/>
  <c r="Q1715" i="1"/>
  <c r="Z1715" i="1"/>
  <c r="M1716" i="1"/>
  <c r="O1716" i="1" s="1"/>
  <c r="P1716" i="1"/>
  <c r="Q1716" i="1"/>
  <c r="Z1716" i="1"/>
  <c r="M1718" i="1"/>
  <c r="O1718" i="1" s="1"/>
  <c r="P1718" i="1"/>
  <c r="Q1718" i="1"/>
  <c r="Z1718" i="1"/>
  <c r="M1720" i="1"/>
  <c r="O1720" i="1" s="1"/>
  <c r="P1720" i="1"/>
  <c r="Q1720" i="1"/>
  <c r="Z1720" i="1"/>
  <c r="M1721" i="1"/>
  <c r="O1721" i="1" s="1"/>
  <c r="P1721" i="1"/>
  <c r="Q1721" i="1"/>
  <c r="Z1721" i="1"/>
  <c r="M1722" i="1"/>
  <c r="O1722" i="1" s="1"/>
  <c r="P1722" i="1"/>
  <c r="Q1722" i="1"/>
  <c r="Z1722" i="1"/>
  <c r="M1723" i="1"/>
  <c r="O1723" i="1" s="1"/>
  <c r="P1723" i="1"/>
  <c r="Q1723" i="1"/>
  <c r="Z1723" i="1"/>
  <c r="M1724" i="1"/>
  <c r="O1724" i="1" s="1"/>
  <c r="P1724" i="1"/>
  <c r="Q1724" i="1"/>
  <c r="Z1724" i="1"/>
  <c r="M1725" i="1"/>
  <c r="O1725" i="1" s="1"/>
  <c r="P1725" i="1"/>
  <c r="Q1725" i="1"/>
  <c r="Z1725" i="1"/>
  <c r="M1726" i="1"/>
  <c r="O1726" i="1" s="1"/>
  <c r="P1726" i="1"/>
  <c r="Q1726" i="1"/>
  <c r="Z1726" i="1"/>
  <c r="M1727" i="1"/>
  <c r="O1727" i="1" s="1"/>
  <c r="P1727" i="1"/>
  <c r="Q1727" i="1"/>
  <c r="Z1727" i="1"/>
  <c r="M1729" i="1"/>
  <c r="O1729" i="1" s="1"/>
  <c r="P1729" i="1"/>
  <c r="Q1729" i="1"/>
  <c r="Z1729" i="1"/>
  <c r="M1730" i="1"/>
  <c r="O1730" i="1" s="1"/>
  <c r="P1730" i="1"/>
  <c r="Q1730" i="1"/>
  <c r="Z1730" i="1"/>
  <c r="M1732" i="1"/>
  <c r="O1732" i="1" s="1"/>
  <c r="P1732" i="1"/>
  <c r="Q1732" i="1"/>
  <c r="Z1732" i="1"/>
  <c r="M1733" i="1"/>
  <c r="O1733" i="1" s="1"/>
  <c r="Z1733" i="1"/>
  <c r="M1735" i="1"/>
  <c r="O1735" i="1" s="1"/>
  <c r="P1735" i="1"/>
  <c r="Q1735" i="1"/>
  <c r="Z1735" i="1"/>
  <c r="M1737" i="1"/>
  <c r="O1737" i="1" s="1"/>
  <c r="P1737" i="1"/>
  <c r="Q1737" i="1"/>
  <c r="Z1737" i="1"/>
  <c r="M1738" i="1"/>
  <c r="O1738" i="1" s="1"/>
  <c r="P1738" i="1"/>
  <c r="Q1738" i="1"/>
  <c r="Z1738" i="1"/>
  <c r="M1739" i="1"/>
  <c r="O1739" i="1" s="1"/>
  <c r="P1739" i="1"/>
  <c r="Q1739" i="1"/>
  <c r="Z1739" i="1"/>
  <c r="M1740" i="1"/>
  <c r="O1740" i="1" s="1"/>
  <c r="P1740" i="1"/>
  <c r="Q1740" i="1"/>
  <c r="Z1740" i="1"/>
  <c r="M1741" i="1"/>
  <c r="O1741" i="1" s="1"/>
  <c r="P1741" i="1"/>
  <c r="Q1741" i="1"/>
  <c r="Z1741" i="1"/>
  <c r="M1742" i="1"/>
  <c r="O1742" i="1" s="1"/>
  <c r="P1742" i="1"/>
  <c r="Q1742" i="1"/>
  <c r="Z1742" i="1"/>
  <c r="M1743" i="1"/>
  <c r="O1743" i="1" s="1"/>
  <c r="P1743" i="1"/>
  <c r="Q1743" i="1"/>
  <c r="Z1743" i="1"/>
  <c r="M1744" i="1"/>
  <c r="O1744" i="1" s="1"/>
  <c r="P1744" i="1"/>
  <c r="Q1744" i="1"/>
  <c r="Z1744" i="1"/>
  <c r="M1745" i="1"/>
  <c r="O1745" i="1" s="1"/>
  <c r="P1745" i="1"/>
  <c r="Q1745" i="1"/>
  <c r="Z1745" i="1"/>
  <c r="M1746" i="1"/>
  <c r="O1746" i="1" s="1"/>
  <c r="P1746" i="1"/>
  <c r="Q1746" i="1"/>
  <c r="Z1746" i="1"/>
  <c r="M1747" i="1"/>
  <c r="O1747" i="1" s="1"/>
  <c r="P1747" i="1"/>
  <c r="Q1747" i="1"/>
  <c r="Z1747" i="1"/>
  <c r="M1748" i="1"/>
  <c r="O1748" i="1" s="1"/>
  <c r="P1748" i="1"/>
  <c r="Q1748" i="1"/>
  <c r="Z1748" i="1"/>
  <c r="M1750" i="1"/>
  <c r="O1750" i="1" s="1"/>
  <c r="P1750" i="1"/>
  <c r="Q1750" i="1"/>
  <c r="Z1750" i="1"/>
  <c r="M1751" i="1"/>
  <c r="O1751" i="1" s="1"/>
  <c r="P1751" i="1"/>
  <c r="Q1751" i="1"/>
  <c r="Z1751" i="1"/>
  <c r="M1752" i="1"/>
  <c r="O1752" i="1" s="1"/>
  <c r="P1752" i="1"/>
  <c r="Q1752" i="1"/>
  <c r="Z1752" i="1"/>
  <c r="M1753" i="1"/>
  <c r="O1753" i="1" s="1"/>
  <c r="P1753" i="1"/>
  <c r="Q1753" i="1"/>
  <c r="Z1753" i="1"/>
  <c r="M1755" i="1"/>
  <c r="O1755" i="1" s="1"/>
  <c r="P1755" i="1"/>
  <c r="Q1755" i="1"/>
  <c r="Z1755" i="1"/>
  <c r="M1756" i="1"/>
  <c r="O1756" i="1" s="1"/>
  <c r="P1756" i="1"/>
  <c r="Q1756" i="1"/>
  <c r="Z1756" i="1"/>
  <c r="M1757" i="1"/>
  <c r="O1757" i="1" s="1"/>
  <c r="P1757" i="1"/>
  <c r="Q1757" i="1"/>
  <c r="Z1757" i="1"/>
  <c r="M1758" i="1"/>
  <c r="O1758" i="1" s="1"/>
  <c r="P1758" i="1"/>
  <c r="Q1758" i="1"/>
  <c r="Z1758" i="1"/>
  <c r="M1760" i="1"/>
  <c r="O1760" i="1" s="1"/>
  <c r="P1760" i="1"/>
  <c r="Q1760" i="1"/>
  <c r="Z1760" i="1"/>
  <c r="M1761" i="1"/>
  <c r="O1761" i="1" s="1"/>
  <c r="P1761" i="1"/>
  <c r="Q1761" i="1"/>
  <c r="Z1761" i="1"/>
  <c r="M1762" i="1"/>
  <c r="O1762" i="1" s="1"/>
  <c r="P1762" i="1"/>
  <c r="Q1762" i="1"/>
  <c r="Z1762" i="1"/>
  <c r="M1763" i="1"/>
  <c r="O1763" i="1" s="1"/>
  <c r="Z1763" i="1"/>
  <c r="M1764" i="1"/>
  <c r="O1764" i="1" s="1"/>
  <c r="Z1764" i="1"/>
  <c r="M1765" i="1"/>
  <c r="O1765" i="1" s="1"/>
  <c r="P1765" i="1"/>
  <c r="Q1765" i="1"/>
  <c r="Z1765" i="1"/>
  <c r="M1766" i="1"/>
  <c r="O1766" i="1" s="1"/>
  <c r="P1766" i="1"/>
  <c r="Q1766" i="1"/>
  <c r="Z1766" i="1"/>
  <c r="M1767" i="1"/>
  <c r="O1767" i="1" s="1"/>
  <c r="Z1767" i="1"/>
  <c r="M1769" i="1"/>
  <c r="O1769" i="1" s="1"/>
  <c r="P1769" i="1"/>
  <c r="Q1769" i="1"/>
  <c r="Z1769" i="1"/>
  <c r="M1770" i="1"/>
  <c r="O1770" i="1" s="1"/>
  <c r="P1770" i="1"/>
  <c r="Q1770" i="1"/>
  <c r="Z1770" i="1"/>
  <c r="M1771" i="1"/>
  <c r="O1771" i="1" s="1"/>
  <c r="P1771" i="1"/>
  <c r="Q1771" i="1"/>
  <c r="Z1771" i="1"/>
  <c r="M1772" i="1"/>
  <c r="O1772" i="1" s="1"/>
  <c r="P1772" i="1"/>
  <c r="Q1772" i="1"/>
  <c r="Z1772" i="1"/>
  <c r="M1774" i="1"/>
  <c r="O1774" i="1" s="1"/>
  <c r="Z1774" i="1"/>
  <c r="M1776" i="1"/>
  <c r="O1776" i="1" s="1"/>
  <c r="P1776" i="1"/>
  <c r="Q1776" i="1"/>
  <c r="Z1776" i="1"/>
  <c r="M1777" i="1"/>
  <c r="O1777" i="1" s="1"/>
  <c r="P1777" i="1"/>
  <c r="Q1777" i="1"/>
  <c r="Z1777" i="1"/>
  <c r="M1778" i="1"/>
  <c r="O1778" i="1" s="1"/>
  <c r="P1778" i="1"/>
  <c r="Q1778" i="1"/>
  <c r="Z1778" i="1"/>
  <c r="M1779" i="1"/>
  <c r="O1779" i="1" s="1"/>
  <c r="P1779" i="1"/>
  <c r="Q1779" i="1"/>
  <c r="Z1779" i="1"/>
  <c r="M1780" i="1"/>
  <c r="O1780" i="1" s="1"/>
  <c r="P1780" i="1"/>
  <c r="Q1780" i="1"/>
  <c r="Z1780" i="1"/>
  <c r="M1781" i="1"/>
  <c r="O1781" i="1" s="1"/>
  <c r="P1781" i="1"/>
  <c r="Q1781" i="1"/>
  <c r="Z1781" i="1"/>
  <c r="M1782" i="1"/>
  <c r="O1782" i="1" s="1"/>
  <c r="P1782" i="1"/>
  <c r="Q1782" i="1"/>
  <c r="Z1782" i="1"/>
  <c r="M1783" i="1"/>
  <c r="O1783" i="1" s="1"/>
  <c r="P1783" i="1"/>
  <c r="Q1783" i="1"/>
  <c r="Z1783" i="1"/>
  <c r="M1785" i="1"/>
  <c r="O1785" i="1" s="1"/>
  <c r="P1785" i="1"/>
  <c r="Q1785" i="1"/>
  <c r="Z1785" i="1"/>
  <c r="M1786" i="1"/>
  <c r="O1786" i="1" s="1"/>
  <c r="P1786" i="1"/>
  <c r="Q1786" i="1"/>
  <c r="Z1786" i="1"/>
  <c r="M1787" i="1"/>
  <c r="O1787" i="1" s="1"/>
  <c r="P1787" i="1"/>
  <c r="Q1787" i="1"/>
  <c r="Z1787" i="1"/>
  <c r="M1788" i="1"/>
  <c r="O1788" i="1" s="1"/>
  <c r="P1788" i="1"/>
  <c r="Q1788" i="1"/>
  <c r="Z1788" i="1"/>
  <c r="M1789" i="1"/>
  <c r="O1789" i="1" s="1"/>
  <c r="P1789" i="1"/>
  <c r="Q1789" i="1"/>
  <c r="Z1789" i="1"/>
  <c r="M1790" i="1"/>
  <c r="O1790" i="1"/>
  <c r="P1790" i="1"/>
  <c r="Q1790" i="1"/>
  <c r="Z1790" i="1"/>
  <c r="M1791" i="1"/>
  <c r="O1791" i="1" s="1"/>
  <c r="P1791" i="1"/>
  <c r="Q1791" i="1"/>
  <c r="Z1791" i="1"/>
  <c r="M1792" i="1"/>
  <c r="O1792" i="1" s="1"/>
  <c r="P1792" i="1"/>
  <c r="Q1792" i="1"/>
  <c r="Z1792" i="1"/>
  <c r="M1794" i="1"/>
  <c r="O1794" i="1" s="1"/>
  <c r="P1794" i="1"/>
  <c r="Q1794" i="1"/>
  <c r="Z1794" i="1"/>
  <c r="M1795" i="1"/>
  <c r="O1795" i="1" s="1"/>
  <c r="Z1795" i="1"/>
  <c r="M1796" i="1"/>
  <c r="O1796" i="1" s="1"/>
  <c r="Z1796" i="1"/>
  <c r="M1797" i="1"/>
  <c r="O1797" i="1" s="1"/>
  <c r="Z1797" i="1"/>
  <c r="M1799" i="1"/>
  <c r="O1799" i="1" s="1"/>
  <c r="P1799" i="1"/>
  <c r="Q1799" i="1"/>
  <c r="Z1799" i="1"/>
  <c r="M1800" i="1"/>
  <c r="O1800" i="1" s="1"/>
  <c r="P1800" i="1"/>
  <c r="Q1800" i="1"/>
  <c r="Z1800" i="1"/>
  <c r="M1801" i="1"/>
  <c r="O1801" i="1" s="1"/>
  <c r="P1801" i="1"/>
  <c r="Q1801" i="1"/>
  <c r="Z1801" i="1"/>
  <c r="M1802" i="1"/>
  <c r="O1802" i="1" s="1"/>
  <c r="P1802" i="1"/>
  <c r="Q1802" i="1"/>
  <c r="Z1802" i="1"/>
  <c r="M1804" i="1"/>
  <c r="O1804" i="1" s="1"/>
  <c r="P1804" i="1"/>
  <c r="Q1804" i="1"/>
  <c r="Z1804" i="1"/>
  <c r="M1805" i="1"/>
  <c r="O1805" i="1" s="1"/>
  <c r="P1805" i="1"/>
  <c r="Q1805" i="1"/>
  <c r="Z1805" i="1"/>
  <c r="M1806" i="1"/>
  <c r="O1806" i="1" s="1"/>
  <c r="P1806" i="1"/>
  <c r="Q1806" i="1"/>
  <c r="Z1806" i="1"/>
  <c r="M1807" i="1"/>
  <c r="O1807" i="1" s="1"/>
  <c r="P1807" i="1"/>
  <c r="Q1807" i="1"/>
  <c r="Z1807" i="1"/>
  <c r="M1809" i="1"/>
  <c r="O1809" i="1" s="1"/>
  <c r="P1809" i="1"/>
  <c r="Q1809" i="1"/>
  <c r="Z1809" i="1"/>
  <c r="M1810" i="1"/>
  <c r="O1810" i="1" s="1"/>
  <c r="P1810" i="1"/>
  <c r="Q1810" i="1"/>
  <c r="Z1810" i="1"/>
  <c r="M1811" i="1"/>
  <c r="O1811" i="1" s="1"/>
  <c r="P1811" i="1"/>
  <c r="Q1811" i="1"/>
  <c r="Z1811" i="1"/>
  <c r="M1812" i="1"/>
  <c r="O1812" i="1" s="1"/>
  <c r="P1812" i="1"/>
  <c r="Q1812" i="1"/>
  <c r="Z1812" i="1"/>
  <c r="M1814" i="1"/>
  <c r="O1814" i="1" s="1"/>
  <c r="Z1814" i="1"/>
  <c r="M1815" i="1"/>
  <c r="O1815" i="1" s="1"/>
  <c r="P1815" i="1"/>
  <c r="Q1815" i="1"/>
  <c r="Z1815" i="1"/>
  <c r="M1816" i="1"/>
  <c r="O1816" i="1" s="1"/>
  <c r="Z1816" i="1"/>
  <c r="M1817" i="1"/>
  <c r="O1817" i="1" s="1"/>
  <c r="Z1817" i="1"/>
  <c r="M1819" i="1"/>
  <c r="O1819" i="1" s="1"/>
  <c r="P1819" i="1"/>
  <c r="Q1819" i="1"/>
  <c r="Z1819" i="1"/>
  <c r="M1820" i="1"/>
  <c r="O1820" i="1" s="1"/>
  <c r="P1820" i="1"/>
  <c r="Q1820" i="1"/>
  <c r="Z1820" i="1"/>
  <c r="M1821" i="1"/>
  <c r="O1821" i="1" s="1"/>
  <c r="P1821" i="1"/>
  <c r="Q1821" i="1"/>
  <c r="Z1821" i="1"/>
  <c r="M1822" i="1"/>
  <c r="O1822" i="1" s="1"/>
  <c r="P1822" i="1"/>
  <c r="Q1822" i="1"/>
  <c r="Z1822" i="1"/>
  <c r="M1823" i="1"/>
  <c r="O1823" i="1" s="1"/>
  <c r="P1823" i="1"/>
  <c r="Q1823" i="1"/>
  <c r="Z1823" i="1"/>
  <c r="M1824" i="1"/>
  <c r="O1824" i="1" s="1"/>
  <c r="P1824" i="1"/>
  <c r="Q1824" i="1"/>
  <c r="Z1824" i="1"/>
  <c r="M1825" i="1"/>
  <c r="O1825" i="1" s="1"/>
  <c r="P1825" i="1"/>
  <c r="Q1825" i="1"/>
  <c r="Z1825" i="1"/>
  <c r="M1826" i="1"/>
  <c r="O1826" i="1" s="1"/>
  <c r="P1826" i="1"/>
  <c r="Q1826" i="1"/>
  <c r="Z1826" i="1"/>
  <c r="M1828" i="1"/>
  <c r="O1828" i="1" s="1"/>
  <c r="P1828" i="1"/>
  <c r="Q1828" i="1"/>
  <c r="Z1828" i="1"/>
  <c r="M1829" i="1"/>
  <c r="O1829" i="1" s="1"/>
  <c r="P1829" i="1"/>
  <c r="Q1829" i="1"/>
  <c r="Z1829" i="1"/>
  <c r="M1830" i="1"/>
  <c r="O1830" i="1" s="1"/>
  <c r="P1830" i="1"/>
  <c r="Q1830" i="1"/>
  <c r="Z1830" i="1"/>
  <c r="M1831" i="1"/>
  <c r="O1831" i="1" s="1"/>
  <c r="P1831" i="1"/>
  <c r="Q1831" i="1"/>
  <c r="Z1831" i="1"/>
  <c r="M1833" i="1"/>
  <c r="O1833" i="1" s="1"/>
  <c r="P1833" i="1"/>
  <c r="Q1833" i="1"/>
  <c r="Z1833" i="1"/>
  <c r="M1834" i="1"/>
  <c r="O1834" i="1" s="1"/>
  <c r="P1834" i="1"/>
  <c r="Q1834" i="1"/>
  <c r="Z1834" i="1"/>
  <c r="M1835" i="1"/>
  <c r="O1835" i="1" s="1"/>
  <c r="P1835" i="1"/>
  <c r="Q1835" i="1"/>
  <c r="Z1835" i="1"/>
  <c r="M1836" i="1"/>
  <c r="O1836" i="1" s="1"/>
  <c r="P1836" i="1"/>
  <c r="Q1836" i="1"/>
  <c r="Z1836" i="1"/>
  <c r="M1838" i="1"/>
  <c r="O1838" i="1" s="1"/>
  <c r="P1838" i="1"/>
  <c r="Q1838" i="1"/>
  <c r="M1840" i="1"/>
  <c r="O1840" i="1" s="1"/>
  <c r="P1840" i="1"/>
  <c r="Q1840" i="1"/>
  <c r="Z1840" i="1"/>
  <c r="M1841" i="1"/>
  <c r="O1841" i="1" s="1"/>
  <c r="P1841" i="1"/>
  <c r="Q1841" i="1"/>
  <c r="Z1841" i="1"/>
  <c r="M1842" i="1"/>
  <c r="O1842" i="1" s="1"/>
  <c r="P1842" i="1"/>
  <c r="Q1842" i="1"/>
  <c r="Z1842" i="1"/>
  <c r="M1843" i="1"/>
  <c r="O1843" i="1" s="1"/>
  <c r="P1843" i="1"/>
  <c r="Q1843" i="1"/>
  <c r="Z1843" i="1"/>
  <c r="M1844" i="1"/>
  <c r="O1844" i="1" s="1"/>
  <c r="P1844" i="1"/>
  <c r="Q1844" i="1"/>
  <c r="Z1844" i="1"/>
  <c r="M1845" i="1"/>
  <c r="O1845" i="1" s="1"/>
  <c r="P1845" i="1"/>
  <c r="Q1845" i="1"/>
  <c r="Z1845" i="1"/>
  <c r="M1846" i="1"/>
  <c r="O1846" i="1" s="1"/>
  <c r="P1846" i="1"/>
  <c r="Q1846" i="1"/>
  <c r="Z1846" i="1"/>
  <c r="M1847" i="1"/>
  <c r="O1847" i="1" s="1"/>
  <c r="P1847" i="1"/>
  <c r="Q1847" i="1"/>
  <c r="Z1847" i="1"/>
  <c r="M1849" i="1"/>
  <c r="O1849" i="1" s="1"/>
  <c r="P1849" i="1"/>
  <c r="Q1849" i="1"/>
  <c r="Z1849" i="1"/>
  <c r="M1850" i="1"/>
  <c r="O1850" i="1" s="1"/>
  <c r="P1850" i="1"/>
  <c r="Q1850" i="1"/>
  <c r="Z1850" i="1"/>
  <c r="M1851" i="1"/>
  <c r="O1851" i="1" s="1"/>
  <c r="P1851" i="1"/>
  <c r="Q1851" i="1"/>
  <c r="Z1851" i="1"/>
  <c r="M1852" i="1"/>
  <c r="O1852" i="1" s="1"/>
  <c r="P1852" i="1"/>
  <c r="Q1852" i="1"/>
  <c r="Z1852" i="1"/>
  <c r="M1853" i="1"/>
  <c r="O1853" i="1" s="1"/>
  <c r="P1853" i="1"/>
  <c r="Q1853" i="1"/>
  <c r="Z1853" i="1"/>
  <c r="M1854" i="1"/>
  <c r="O1854" i="1" s="1"/>
  <c r="P1854" i="1"/>
  <c r="Q1854" i="1"/>
  <c r="Z1854" i="1"/>
  <c r="M1855" i="1"/>
  <c r="O1855" i="1" s="1"/>
  <c r="P1855" i="1"/>
  <c r="Q1855" i="1"/>
  <c r="Z1855" i="1"/>
  <c r="M1856" i="1"/>
  <c r="O1856" i="1" s="1"/>
  <c r="P1856" i="1"/>
  <c r="Q1856" i="1"/>
  <c r="Z1856" i="1"/>
  <c r="M1858" i="1"/>
  <c r="O1858" i="1" s="1"/>
  <c r="P1858" i="1"/>
  <c r="Q1858" i="1"/>
  <c r="Z1858" i="1"/>
  <c r="M1860" i="1"/>
  <c r="O1860" i="1" s="1"/>
  <c r="P1860" i="1"/>
  <c r="Q1860" i="1"/>
  <c r="M1861" i="1"/>
  <c r="O1861" i="1" s="1"/>
  <c r="P1861" i="1"/>
  <c r="Q1861" i="1"/>
  <c r="M1864" i="1"/>
  <c r="O1864" i="1" s="1"/>
  <c r="P1864" i="1"/>
  <c r="Q1864" i="1"/>
  <c r="Z1864" i="1"/>
  <c r="M1865" i="1"/>
  <c r="O1865" i="1" s="1"/>
  <c r="P1865" i="1"/>
  <c r="Q1865" i="1"/>
  <c r="Z1865" i="1"/>
  <c r="M1866" i="1"/>
  <c r="O1866" i="1" s="1"/>
  <c r="P1866" i="1"/>
  <c r="Q1866" i="1"/>
  <c r="Z1866" i="1"/>
  <c r="M1867" i="1"/>
  <c r="O1867" i="1" s="1"/>
  <c r="P1867" i="1"/>
  <c r="Q1867" i="1"/>
  <c r="Z1867" i="1"/>
  <c r="M1869" i="1"/>
  <c r="O1869" i="1" s="1"/>
  <c r="P1869" i="1"/>
  <c r="Q1869" i="1"/>
  <c r="Z1869" i="1"/>
  <c r="M1870" i="1"/>
  <c r="O1870" i="1" s="1"/>
  <c r="P1870" i="1"/>
  <c r="Q1870" i="1"/>
  <c r="Z1870" i="1"/>
  <c r="M1871" i="1"/>
  <c r="O1871" i="1" s="1"/>
  <c r="P1871" i="1"/>
  <c r="Q1871" i="1"/>
  <c r="Z1871" i="1"/>
  <c r="M1872" i="1"/>
  <c r="O1872" i="1" s="1"/>
  <c r="P1872" i="1"/>
  <c r="Q1872" i="1"/>
  <c r="Z1872" i="1"/>
  <c r="M1873" i="1"/>
  <c r="O1873" i="1"/>
  <c r="P1873" i="1"/>
  <c r="Q1873" i="1"/>
  <c r="Z1873" i="1"/>
  <c r="M1874" i="1"/>
  <c r="O1874" i="1" s="1"/>
  <c r="P1874" i="1"/>
  <c r="Q1874" i="1"/>
  <c r="Z1874" i="1"/>
  <c r="M1875" i="1"/>
  <c r="O1875" i="1" s="1"/>
  <c r="P1875" i="1"/>
  <c r="Q1875" i="1"/>
  <c r="Z1875" i="1"/>
  <c r="M1876" i="1"/>
  <c r="O1876" i="1" s="1"/>
  <c r="P1876" i="1"/>
  <c r="Q1876" i="1"/>
  <c r="Z1876" i="1"/>
  <c r="M1877" i="1"/>
  <c r="O1877" i="1" s="1"/>
  <c r="P1877" i="1"/>
  <c r="Q1877" i="1"/>
  <c r="Z1877" i="1"/>
  <c r="M1878" i="1"/>
  <c r="O1878" i="1" s="1"/>
  <c r="P1878" i="1"/>
  <c r="Q1878" i="1"/>
  <c r="Z1878" i="1"/>
  <c r="M1881" i="1"/>
  <c r="O1881" i="1" s="1"/>
  <c r="P1881" i="1"/>
  <c r="Q1881" i="1"/>
  <c r="Z1881" i="1"/>
  <c r="M1882" i="1"/>
  <c r="O1882" i="1" s="1"/>
  <c r="P1882" i="1"/>
  <c r="Q1882" i="1"/>
  <c r="Z1882" i="1"/>
  <c r="M1885" i="1"/>
  <c r="O1885" i="1" s="1"/>
  <c r="P1885" i="1"/>
  <c r="Q1885" i="1"/>
  <c r="Z1885" i="1"/>
  <c r="M1886" i="1"/>
  <c r="O1886" i="1" s="1"/>
  <c r="P1886" i="1"/>
  <c r="Q1886" i="1"/>
  <c r="Z1886" i="1"/>
  <c r="M1887" i="1"/>
  <c r="O1887" i="1" s="1"/>
  <c r="P1887" i="1"/>
  <c r="Q1887" i="1"/>
  <c r="Z1887" i="1"/>
  <c r="M1888" i="1"/>
  <c r="O1888" i="1" s="1"/>
  <c r="P1888" i="1"/>
  <c r="Q1888" i="1"/>
  <c r="Z1888" i="1"/>
  <c r="M1889" i="1"/>
  <c r="O1889" i="1" s="1"/>
  <c r="P1889" i="1"/>
  <c r="Q1889" i="1"/>
  <c r="Z1889" i="1"/>
  <c r="M1890" i="1"/>
  <c r="O1890" i="1" s="1"/>
  <c r="P1890" i="1"/>
  <c r="Q1890" i="1"/>
  <c r="Z1890" i="1"/>
  <c r="M1891" i="1"/>
  <c r="O1891" i="1" s="1"/>
  <c r="Z1891" i="1"/>
  <c r="M1892" i="1"/>
  <c r="O1892" i="1" s="1"/>
  <c r="P1892" i="1"/>
  <c r="Q1892" i="1"/>
  <c r="Z1892" i="1"/>
  <c r="M1893" i="1"/>
  <c r="O1893" i="1" s="1"/>
  <c r="Z1893" i="1"/>
  <c r="M1894" i="1"/>
  <c r="O1894" i="1" s="1"/>
  <c r="P1894" i="1"/>
  <c r="Q1894" i="1"/>
  <c r="Z1894" i="1"/>
  <c r="M1895" i="1"/>
  <c r="O1895" i="1" s="1"/>
  <c r="P1895" i="1"/>
  <c r="Q1895" i="1"/>
  <c r="Z1895" i="1"/>
  <c r="M1896" i="1"/>
  <c r="O1896" i="1" s="1"/>
  <c r="P1896" i="1"/>
  <c r="Q1896" i="1"/>
  <c r="Z1896" i="1"/>
  <c r="M1897" i="1"/>
  <c r="O1897" i="1" s="1"/>
  <c r="P1897" i="1"/>
  <c r="Q1897" i="1"/>
  <c r="Z1897" i="1"/>
  <c r="M1898" i="1"/>
  <c r="O1898" i="1" s="1"/>
  <c r="P1898" i="1"/>
  <c r="Q1898" i="1"/>
  <c r="Z1898" i="1"/>
  <c r="M1899" i="1"/>
  <c r="O1899" i="1" s="1"/>
  <c r="Z1899" i="1"/>
  <c r="M1901" i="1"/>
  <c r="O1901" i="1" s="1"/>
  <c r="P1901" i="1"/>
  <c r="Q1901" i="1"/>
  <c r="Z1901" i="1"/>
  <c r="M1902" i="1"/>
  <c r="O1902" i="1" s="1"/>
  <c r="P1902" i="1"/>
  <c r="Q1902" i="1"/>
  <c r="Z1902" i="1"/>
  <c r="M1903" i="1"/>
  <c r="O1903" i="1" s="1"/>
  <c r="P1903" i="1"/>
  <c r="Q1903" i="1"/>
  <c r="Z1903" i="1"/>
  <c r="M1904" i="1"/>
  <c r="O1904" i="1" s="1"/>
  <c r="P1904" i="1"/>
  <c r="Q1904" i="1"/>
  <c r="Z1904" i="1"/>
  <c r="M1905" i="1"/>
  <c r="O1905" i="1" s="1"/>
  <c r="P1905" i="1"/>
  <c r="Q1905" i="1"/>
  <c r="Z1905" i="1"/>
  <c r="M1906" i="1"/>
  <c r="O1906" i="1" s="1"/>
  <c r="P1906" i="1"/>
  <c r="Q1906" i="1"/>
  <c r="Z1906" i="1"/>
  <c r="M1907" i="1"/>
  <c r="O1907" i="1" s="1"/>
  <c r="P1907" i="1"/>
  <c r="Q1907" i="1"/>
  <c r="Z1907" i="1"/>
  <c r="M1908" i="1"/>
  <c r="O1908" i="1" s="1"/>
  <c r="P1908" i="1"/>
  <c r="Q1908" i="1"/>
  <c r="Z1908" i="1"/>
  <c r="M1909" i="1"/>
  <c r="O1909" i="1" s="1"/>
  <c r="P1909" i="1"/>
  <c r="Q1909" i="1"/>
  <c r="Z1909" i="1"/>
  <c r="M1910" i="1"/>
  <c r="O1910" i="1" s="1"/>
  <c r="P1910" i="1"/>
  <c r="Q1910" i="1"/>
  <c r="Z1910" i="1"/>
  <c r="M1911" i="1"/>
  <c r="O1911" i="1" s="1"/>
  <c r="P1911" i="1"/>
  <c r="Q1911" i="1"/>
  <c r="Z1911" i="1"/>
  <c r="M1912" i="1"/>
  <c r="O1912" i="1" s="1"/>
  <c r="P1912" i="1"/>
  <c r="Q1912" i="1"/>
  <c r="Z1912" i="1"/>
  <c r="M1913" i="1"/>
  <c r="O1913" i="1" s="1"/>
  <c r="P1913" i="1"/>
  <c r="Q1913" i="1"/>
  <c r="Z1913" i="1"/>
  <c r="M1916" i="1"/>
  <c r="O1916" i="1" s="1"/>
  <c r="P1916" i="1"/>
  <c r="Q1916" i="1"/>
  <c r="Z1916" i="1"/>
  <c r="M1917" i="1"/>
  <c r="O1917" i="1" s="1"/>
  <c r="P1917" i="1"/>
  <c r="Q1917" i="1"/>
  <c r="Z1917" i="1"/>
  <c r="M1918" i="1"/>
  <c r="O1918" i="1" s="1"/>
  <c r="P1918" i="1"/>
  <c r="Q1918" i="1"/>
  <c r="Z1918" i="1"/>
  <c r="M1920" i="1"/>
  <c r="O1920" i="1" s="1"/>
  <c r="P1920" i="1"/>
  <c r="Q1920" i="1"/>
  <c r="Z1920" i="1"/>
  <c r="M1921" i="1"/>
  <c r="O1921" i="1" s="1"/>
  <c r="P1921" i="1"/>
  <c r="Q1921" i="1"/>
  <c r="Z1921" i="1"/>
  <c r="M1922" i="1"/>
  <c r="O1922" i="1" s="1"/>
  <c r="P1922" i="1"/>
  <c r="Q1922" i="1"/>
  <c r="Z1922" i="1"/>
  <c r="M1923" i="1"/>
  <c r="O1923" i="1" s="1"/>
  <c r="P1923" i="1"/>
  <c r="Q1923" i="1"/>
  <c r="Z1923" i="1"/>
  <c r="M1925" i="1"/>
  <c r="O1925" i="1" s="1"/>
  <c r="P1925" i="1"/>
  <c r="Q1925" i="1"/>
  <c r="Z1925" i="1"/>
  <c r="M1926" i="1"/>
  <c r="O1926" i="1" s="1"/>
  <c r="P1926" i="1"/>
  <c r="Q1926" i="1"/>
  <c r="Z1926" i="1"/>
  <c r="M1927" i="1"/>
  <c r="O1927" i="1" s="1"/>
  <c r="Z1927" i="1"/>
  <c r="M1929" i="1"/>
  <c r="O1929" i="1" s="1"/>
  <c r="P1929" i="1"/>
  <c r="Q1929" i="1"/>
  <c r="Z1929" i="1"/>
  <c r="M1930" i="1"/>
  <c r="O1930" i="1" s="1"/>
  <c r="P1930" i="1"/>
  <c r="Q1930" i="1"/>
  <c r="Z1930" i="1"/>
  <c r="M1931" i="1"/>
  <c r="O1931" i="1" s="1"/>
  <c r="P1931" i="1"/>
  <c r="Q1931" i="1"/>
  <c r="Z1931" i="1"/>
  <c r="M1932" i="1"/>
  <c r="O1932" i="1" s="1"/>
  <c r="P1932" i="1"/>
  <c r="Q1932" i="1"/>
  <c r="Z1932" i="1"/>
  <c r="M1933" i="1"/>
  <c r="O1933" i="1" s="1"/>
  <c r="P1933" i="1"/>
  <c r="Q1933" i="1"/>
  <c r="Z1933" i="1"/>
  <c r="M1934" i="1"/>
  <c r="O1934" i="1" s="1"/>
  <c r="P1934" i="1"/>
  <c r="Q1934" i="1"/>
  <c r="Z1934" i="1"/>
  <c r="M1935" i="1"/>
  <c r="O1935" i="1" s="1"/>
  <c r="P1935" i="1"/>
  <c r="Q1935" i="1"/>
  <c r="Z1935" i="1"/>
  <c r="M1936" i="1"/>
  <c r="O1936" i="1" s="1"/>
  <c r="P1936" i="1"/>
  <c r="Q1936" i="1"/>
  <c r="Z1936" i="1"/>
  <c r="M1937" i="1"/>
  <c r="O1937" i="1" s="1"/>
  <c r="P1937" i="1"/>
  <c r="Q1937" i="1"/>
  <c r="Z1937" i="1"/>
  <c r="M1938" i="1"/>
  <c r="O1938" i="1" s="1"/>
  <c r="P1938" i="1"/>
  <c r="Q1938" i="1"/>
  <c r="Z1938" i="1"/>
  <c r="M1939" i="1"/>
  <c r="O1939" i="1" s="1"/>
  <c r="P1939" i="1"/>
  <c r="Q1939" i="1"/>
  <c r="Z1939" i="1"/>
  <c r="M1941" i="1"/>
  <c r="O1941" i="1" s="1"/>
  <c r="P1941" i="1"/>
  <c r="Q1941" i="1"/>
  <c r="Z1941" i="1"/>
  <c r="M1942" i="1"/>
  <c r="O1942" i="1" s="1"/>
  <c r="P1942" i="1"/>
  <c r="Q1942" i="1"/>
  <c r="Z1942" i="1"/>
  <c r="M1943" i="1"/>
  <c r="O1943" i="1" s="1"/>
  <c r="P1943" i="1"/>
  <c r="Q1943" i="1"/>
  <c r="Z1943" i="1"/>
  <c r="M1944" i="1"/>
  <c r="O1944" i="1" s="1"/>
  <c r="P1944" i="1"/>
  <c r="Q1944" i="1"/>
  <c r="Z1944" i="1"/>
  <c r="M1945" i="1"/>
  <c r="O1945" i="1" s="1"/>
  <c r="P1945" i="1"/>
  <c r="Q1945" i="1"/>
  <c r="Z1945" i="1"/>
  <c r="M1946" i="1"/>
  <c r="O1946" i="1" s="1"/>
  <c r="P1946" i="1"/>
  <c r="Q1946" i="1"/>
  <c r="Z1946" i="1"/>
  <c r="M1947" i="1"/>
  <c r="O1947" i="1" s="1"/>
  <c r="P1947" i="1"/>
  <c r="Q1947" i="1"/>
  <c r="Z1947" i="1"/>
  <c r="M1948" i="1"/>
  <c r="O1948" i="1" s="1"/>
  <c r="P1948" i="1"/>
  <c r="Q1948" i="1"/>
  <c r="Z1948" i="1"/>
  <c r="M1950" i="1"/>
  <c r="O1950" i="1" s="1"/>
  <c r="P1950" i="1"/>
  <c r="Q1950" i="1"/>
  <c r="Z1950" i="1"/>
  <c r="M1951" i="1"/>
  <c r="O1951" i="1" s="1"/>
  <c r="P1951" i="1"/>
  <c r="Q1951" i="1"/>
  <c r="Z1951" i="1"/>
  <c r="M1952" i="1"/>
  <c r="O1952" i="1" s="1"/>
  <c r="P1952" i="1"/>
  <c r="Q1952" i="1"/>
  <c r="Z1952" i="1"/>
  <c r="M1954" i="1"/>
  <c r="O1954" i="1" s="1"/>
  <c r="P1954" i="1"/>
  <c r="Q1954" i="1"/>
  <c r="Z1954" i="1"/>
  <c r="M1956" i="1"/>
  <c r="O1956" i="1" s="1"/>
  <c r="P1956" i="1"/>
  <c r="Q1956" i="1"/>
  <c r="Z1956" i="1"/>
  <c r="M1957" i="1"/>
  <c r="O1957" i="1" s="1"/>
  <c r="P1957" i="1"/>
  <c r="Q1957" i="1"/>
  <c r="Z1957" i="1"/>
  <c r="M1958" i="1"/>
  <c r="O1958" i="1" s="1"/>
  <c r="P1958" i="1"/>
  <c r="Q1958" i="1"/>
  <c r="Z1958" i="1"/>
  <c r="M1959" i="1"/>
  <c r="O1959" i="1" s="1"/>
  <c r="P1959" i="1"/>
  <c r="Q1959" i="1"/>
  <c r="Z1959" i="1"/>
  <c r="M1961" i="1"/>
  <c r="O1961" i="1" s="1"/>
  <c r="P1961" i="1"/>
  <c r="Q1961" i="1"/>
  <c r="Z1961" i="1"/>
  <c r="M1963" i="1"/>
  <c r="O1963" i="1" s="1"/>
  <c r="P1963" i="1"/>
  <c r="Q1963" i="1"/>
  <c r="Z1963" i="1"/>
  <c r="M1966" i="1"/>
  <c r="O1966" i="1" s="1"/>
  <c r="P1966" i="1"/>
  <c r="Q1966" i="1"/>
  <c r="Z1966" i="1"/>
  <c r="M1968" i="1"/>
  <c r="O1968" i="1" s="1"/>
  <c r="P1968" i="1"/>
  <c r="Q1968" i="1"/>
  <c r="Z1968" i="1"/>
  <c r="M1969" i="1"/>
  <c r="O1969" i="1" s="1"/>
  <c r="P1969" i="1"/>
  <c r="Q1969" i="1"/>
  <c r="Z1969" i="1"/>
  <c r="M1971" i="1"/>
  <c r="O1971" i="1" s="1"/>
  <c r="P1971" i="1"/>
  <c r="Q1971" i="1"/>
  <c r="Z1971" i="1"/>
  <c r="M1972" i="1"/>
  <c r="O1972" i="1" s="1"/>
  <c r="P1972" i="1"/>
  <c r="Q1972" i="1"/>
  <c r="Z1972" i="1"/>
  <c r="M1973" i="1"/>
  <c r="O1973" i="1" s="1"/>
  <c r="P1973" i="1"/>
  <c r="Q1973" i="1"/>
  <c r="Z1973" i="1"/>
  <c r="M1974" i="1"/>
  <c r="O1974" i="1" s="1"/>
  <c r="P1974" i="1"/>
  <c r="Q1974" i="1"/>
  <c r="Z1974" i="1"/>
  <c r="M1975" i="1"/>
  <c r="O1975" i="1" s="1"/>
  <c r="P1975" i="1"/>
  <c r="Q1975" i="1"/>
  <c r="Z1975" i="1"/>
  <c r="M1976" i="1"/>
  <c r="O1976" i="1" s="1"/>
  <c r="P1976" i="1"/>
  <c r="Q1976" i="1"/>
  <c r="Z1976" i="1"/>
  <c r="M1977" i="1"/>
  <c r="O1977" i="1" s="1"/>
  <c r="P1977" i="1"/>
  <c r="Q1977" i="1"/>
  <c r="Z1977" i="1"/>
  <c r="M1978" i="1"/>
  <c r="O1978" i="1" s="1"/>
  <c r="P1978" i="1"/>
  <c r="Q1978" i="1"/>
  <c r="Z1978" i="1"/>
  <c r="M1980" i="1"/>
  <c r="O1980" i="1" s="1"/>
  <c r="P1980" i="1"/>
  <c r="Q1980" i="1"/>
  <c r="Z1980" i="1"/>
  <c r="M1981" i="1"/>
  <c r="O1981" i="1" s="1"/>
  <c r="P1981" i="1"/>
  <c r="Q1981" i="1"/>
  <c r="Z1981" i="1"/>
  <c r="M1982" i="1"/>
  <c r="O1982" i="1" s="1"/>
  <c r="P1982" i="1"/>
  <c r="Q1982" i="1"/>
  <c r="Z1982" i="1"/>
  <c r="M1984" i="1"/>
  <c r="O1984" i="1" s="1"/>
  <c r="P1984" i="1"/>
  <c r="Q1984" i="1"/>
  <c r="Z1984" i="1"/>
  <c r="M1985" i="1"/>
  <c r="O1985" i="1" s="1"/>
  <c r="P1985" i="1"/>
  <c r="Q1985" i="1"/>
  <c r="Z1985" i="1"/>
  <c r="M1986" i="1"/>
  <c r="O1986" i="1" s="1"/>
  <c r="P1986" i="1"/>
  <c r="Q1986" i="1"/>
  <c r="Z1986" i="1"/>
  <c r="M1987" i="1"/>
  <c r="O1987" i="1" s="1"/>
  <c r="P1987" i="1"/>
  <c r="Q1987" i="1"/>
  <c r="Z1987" i="1"/>
  <c r="M1988" i="1"/>
  <c r="O1988" i="1" s="1"/>
  <c r="P1988" i="1"/>
  <c r="Q1988" i="1"/>
  <c r="Z1988" i="1"/>
  <c r="M1989" i="1"/>
  <c r="O1989" i="1" s="1"/>
  <c r="P1989" i="1"/>
  <c r="Q1989" i="1"/>
  <c r="Z1989" i="1"/>
  <c r="M1990" i="1"/>
  <c r="O1990" i="1" s="1"/>
  <c r="P1990" i="1"/>
  <c r="Q1990" i="1"/>
  <c r="Z1990" i="1"/>
  <c r="M1991" i="1"/>
  <c r="O1991" i="1" s="1"/>
  <c r="P1991" i="1"/>
  <c r="Q1991" i="1"/>
  <c r="Z1991" i="1"/>
  <c r="M1992" i="1"/>
  <c r="O1992" i="1" s="1"/>
  <c r="P1992" i="1"/>
  <c r="Q1992" i="1"/>
  <c r="Z1992" i="1"/>
  <c r="M1993" i="1"/>
  <c r="O1993" i="1"/>
  <c r="P1993" i="1"/>
  <c r="Q1993" i="1"/>
  <c r="Z1993" i="1"/>
  <c r="M1995" i="1"/>
  <c r="O1995" i="1" s="1"/>
  <c r="P1995" i="1"/>
  <c r="Q1995" i="1"/>
  <c r="Z1995" i="1"/>
  <c r="M1996" i="1"/>
  <c r="O1996" i="1" s="1"/>
  <c r="P1996" i="1"/>
  <c r="Q1996" i="1"/>
  <c r="Z1996" i="1"/>
  <c r="M1997" i="1"/>
  <c r="O1997" i="1" s="1"/>
  <c r="P1997" i="1"/>
  <c r="Q1997" i="1"/>
  <c r="Z1997" i="1"/>
  <c r="M1998" i="1"/>
  <c r="O1998" i="1" s="1"/>
  <c r="P1998" i="1"/>
  <c r="Q1998" i="1"/>
  <c r="Z1998" i="1"/>
  <c r="M2001" i="1"/>
  <c r="O2001" i="1" s="1"/>
  <c r="P2001" i="1"/>
  <c r="Q2001" i="1"/>
  <c r="Z2001" i="1"/>
  <c r="M2002" i="1"/>
  <c r="O2002" i="1" s="1"/>
  <c r="P2002" i="1"/>
  <c r="Q2002" i="1"/>
  <c r="Z2002" i="1"/>
  <c r="M2004" i="1"/>
  <c r="O2004" i="1" s="1"/>
  <c r="P2004" i="1"/>
  <c r="Q2004" i="1"/>
  <c r="Z2004" i="1"/>
  <c r="M2005" i="1"/>
  <c r="O2005" i="1" s="1"/>
  <c r="P2005" i="1"/>
  <c r="Q2005" i="1"/>
  <c r="Z2005" i="1"/>
  <c r="M2006" i="1"/>
  <c r="O2006" i="1" s="1"/>
  <c r="P2006" i="1"/>
  <c r="Q2006" i="1"/>
  <c r="Z2006" i="1"/>
  <c r="M2007" i="1"/>
  <c r="O2007" i="1" s="1"/>
  <c r="P2007" i="1"/>
  <c r="Q2007" i="1"/>
  <c r="Z2007" i="1"/>
  <c r="M2008" i="1"/>
  <c r="O2008" i="1" s="1"/>
  <c r="P2008" i="1"/>
  <c r="Q2008" i="1"/>
  <c r="Z2008" i="1"/>
  <c r="M2009" i="1"/>
  <c r="O2009" i="1" s="1"/>
  <c r="P2009" i="1"/>
  <c r="Q2009" i="1"/>
  <c r="Z2009" i="1"/>
  <c r="M2010" i="1"/>
  <c r="O2010" i="1" s="1"/>
  <c r="P2010" i="1"/>
  <c r="Q2010" i="1"/>
  <c r="Z2010" i="1"/>
  <c r="M2011" i="1"/>
  <c r="O2011" i="1" s="1"/>
  <c r="P2011" i="1"/>
  <c r="Q2011" i="1"/>
  <c r="Z2011" i="1"/>
  <c r="M2012" i="1"/>
  <c r="O2012" i="1" s="1"/>
  <c r="P2012" i="1"/>
  <c r="Q2012" i="1"/>
  <c r="Z2012" i="1"/>
  <c r="M2013" i="1"/>
  <c r="O2013" i="1" s="1"/>
  <c r="P2013" i="1"/>
  <c r="Q2013" i="1"/>
  <c r="Z2013" i="1"/>
  <c r="M2014" i="1"/>
  <c r="O2014" i="1" s="1"/>
  <c r="P2014" i="1"/>
  <c r="Q2014" i="1"/>
  <c r="Z2014" i="1"/>
  <c r="M2015" i="1"/>
  <c r="O2015" i="1" s="1"/>
  <c r="P2015" i="1"/>
  <c r="Q2015" i="1"/>
  <c r="Z2015" i="1"/>
  <c r="M2018" i="1"/>
  <c r="O2018" i="1" s="1"/>
  <c r="P2018" i="1"/>
  <c r="Q2018" i="1"/>
  <c r="Z2018" i="1"/>
  <c r="M2019" i="1"/>
  <c r="O2019" i="1" s="1"/>
  <c r="P2019" i="1"/>
  <c r="Q2019" i="1"/>
  <c r="Z2019" i="1"/>
  <c r="M2020" i="1"/>
  <c r="O2020" i="1" s="1"/>
  <c r="P2020" i="1"/>
  <c r="Q2020" i="1"/>
  <c r="Z2020" i="1"/>
  <c r="M2021" i="1"/>
  <c r="O2021" i="1" s="1"/>
  <c r="P2021" i="1"/>
  <c r="Q2021" i="1"/>
  <c r="Z2021" i="1"/>
  <c r="M2023" i="1"/>
  <c r="O2023" i="1" s="1"/>
  <c r="P2023" i="1"/>
  <c r="Q2023" i="1"/>
  <c r="Z2023" i="1"/>
  <c r="M2024" i="1"/>
  <c r="O2024" i="1" s="1"/>
  <c r="P2024" i="1"/>
  <c r="Q2024" i="1"/>
  <c r="Z2024" i="1"/>
  <c r="M2026" i="1"/>
  <c r="O2026" i="1" s="1"/>
  <c r="P2026" i="1"/>
  <c r="Q2026" i="1"/>
  <c r="Z2026" i="1"/>
  <c r="M2027" i="1"/>
  <c r="O2027" i="1" s="1"/>
  <c r="Z2027" i="1"/>
  <c r="M2028" i="1"/>
  <c r="O2028" i="1"/>
  <c r="P2028" i="1"/>
  <c r="Q2028" i="1"/>
  <c r="Z2028" i="1"/>
  <c r="M2029" i="1"/>
  <c r="O2029" i="1" s="1"/>
  <c r="P2029" i="1"/>
  <c r="Q2029" i="1"/>
  <c r="Z2029" i="1"/>
  <c r="M2031" i="1"/>
  <c r="O2031" i="1" s="1"/>
  <c r="P2031" i="1"/>
  <c r="Q2031" i="1"/>
  <c r="Z2031" i="1"/>
  <c r="M2032" i="1"/>
  <c r="O2032" i="1" s="1"/>
  <c r="P2032" i="1"/>
  <c r="Q2032" i="1"/>
  <c r="Z2032" i="1"/>
  <c r="M2033" i="1"/>
  <c r="O2033" i="1" s="1"/>
  <c r="P2033" i="1"/>
  <c r="Q2033" i="1"/>
  <c r="Z2033" i="1"/>
  <c r="M2034" i="1"/>
  <c r="O2034" i="1" s="1"/>
  <c r="P2034" i="1"/>
  <c r="Q2034" i="1"/>
  <c r="Z2034" i="1"/>
  <c r="M2036" i="1"/>
  <c r="O2036" i="1" s="1"/>
  <c r="Z2036" i="1"/>
  <c r="M2037" i="1"/>
  <c r="O2037" i="1" s="1"/>
  <c r="P2037" i="1"/>
  <c r="Q2037" i="1"/>
  <c r="Z2037" i="1"/>
  <c r="M2040" i="1"/>
  <c r="O2040" i="1" s="1"/>
  <c r="P2040" i="1"/>
  <c r="Q2040" i="1"/>
  <c r="Z2040" i="1"/>
  <c r="M2041" i="1"/>
  <c r="O2041" i="1" s="1"/>
  <c r="P2041" i="1"/>
  <c r="Q2041" i="1"/>
  <c r="Z2041" i="1"/>
  <c r="M2043" i="1"/>
  <c r="O2043" i="1" s="1"/>
  <c r="P2043" i="1"/>
  <c r="Q2043" i="1"/>
  <c r="Z2043" i="1"/>
  <c r="M2044" i="1"/>
  <c r="O2044" i="1" s="1"/>
  <c r="P2044" i="1"/>
  <c r="Q2044" i="1"/>
  <c r="Z2044" i="1"/>
  <c r="M2045" i="1"/>
  <c r="O2045" i="1" s="1"/>
  <c r="P2045" i="1"/>
  <c r="Q2045" i="1"/>
  <c r="Z2045" i="1"/>
  <c r="M2046" i="1"/>
  <c r="O2046" i="1" s="1"/>
  <c r="P2046" i="1"/>
  <c r="Q2046" i="1"/>
  <c r="Z2046" i="1"/>
  <c r="M2047" i="1"/>
  <c r="O2047" i="1" s="1"/>
  <c r="P2047" i="1"/>
  <c r="Q2047" i="1"/>
  <c r="Z2047" i="1"/>
  <c r="M2048" i="1"/>
  <c r="O2048" i="1" s="1"/>
  <c r="P2048" i="1"/>
  <c r="Q2048" i="1"/>
  <c r="Z2048" i="1"/>
  <c r="M2049" i="1"/>
  <c r="O2049" i="1" s="1"/>
  <c r="P2049" i="1"/>
  <c r="Q2049" i="1"/>
  <c r="Z2049" i="1"/>
  <c r="M2050" i="1"/>
  <c r="O2050" i="1" s="1"/>
  <c r="P2050" i="1"/>
  <c r="Q2050" i="1"/>
  <c r="Z2050" i="1"/>
  <c r="M2051" i="1"/>
  <c r="O2051" i="1" s="1"/>
  <c r="P2051" i="1"/>
  <c r="Q2051" i="1"/>
  <c r="Z2051" i="1"/>
  <c r="M2052" i="1"/>
  <c r="O2052" i="1" s="1"/>
  <c r="P2052" i="1"/>
  <c r="Q2052" i="1"/>
  <c r="Z2052" i="1"/>
  <c r="M2053" i="1"/>
  <c r="O2053" i="1" s="1"/>
  <c r="P2053" i="1"/>
  <c r="Q2053" i="1"/>
  <c r="Z2053" i="1"/>
  <c r="M2055" i="1"/>
  <c r="O2055" i="1" s="1"/>
  <c r="P2055" i="1"/>
  <c r="Q2055" i="1"/>
  <c r="Z2055" i="1"/>
  <c r="M2057" i="1"/>
  <c r="O2057" i="1" s="1"/>
  <c r="P2057" i="1"/>
  <c r="Q2057" i="1"/>
  <c r="Z2057" i="1"/>
  <c r="M2058" i="1"/>
  <c r="O2058" i="1" s="1"/>
  <c r="P2058" i="1"/>
  <c r="Q2058" i="1"/>
  <c r="Z2058" i="1"/>
  <c r="M2059" i="1"/>
  <c r="O2059" i="1" s="1"/>
  <c r="P2059" i="1"/>
  <c r="Q2059" i="1"/>
  <c r="Z2059" i="1"/>
  <c r="M2060" i="1"/>
  <c r="O2060" i="1" s="1"/>
  <c r="P2060" i="1"/>
  <c r="Q2060" i="1"/>
  <c r="Z2060" i="1"/>
  <c r="M2061" i="1"/>
  <c r="O2061" i="1" s="1"/>
  <c r="P2061" i="1"/>
  <c r="Q2061" i="1"/>
  <c r="Z2061" i="1"/>
  <c r="M2063" i="1"/>
  <c r="O2063" i="1" s="1"/>
  <c r="P2063" i="1"/>
  <c r="Q2063" i="1"/>
  <c r="Z2063" i="1"/>
  <c r="M2064" i="1"/>
  <c r="O2064" i="1" s="1"/>
  <c r="P2064" i="1"/>
  <c r="Q2064" i="1"/>
  <c r="Z2064" i="1"/>
  <c r="M2065" i="1"/>
  <c r="O2065" i="1" s="1"/>
  <c r="P2065" i="1"/>
  <c r="Q2065" i="1"/>
  <c r="Z2065" i="1"/>
  <c r="M2066" i="1"/>
  <c r="O2066" i="1" s="1"/>
  <c r="P2066" i="1"/>
  <c r="Q2066" i="1"/>
  <c r="Z2066" i="1"/>
  <c r="M2067" i="1"/>
  <c r="O2067" i="1" s="1"/>
  <c r="P2067" i="1"/>
  <c r="Q2067" i="1"/>
  <c r="Z2067" i="1"/>
  <c r="M2069" i="1"/>
  <c r="O2069" i="1" s="1"/>
  <c r="P2069" i="1"/>
  <c r="Q2069" i="1"/>
  <c r="Z2069" i="1"/>
  <c r="M2070" i="1"/>
  <c r="O2070" i="1" s="1"/>
  <c r="P2070" i="1"/>
  <c r="Q2070" i="1"/>
  <c r="Z2070" i="1"/>
  <c r="M2071" i="1"/>
  <c r="O2071" i="1" s="1"/>
  <c r="P2071" i="1"/>
  <c r="Q2071" i="1"/>
  <c r="Z2071" i="1"/>
  <c r="M2072" i="1"/>
  <c r="O2072" i="1" s="1"/>
  <c r="P2072" i="1"/>
  <c r="Q2072" i="1"/>
  <c r="Z2072" i="1"/>
  <c r="M2073" i="1"/>
  <c r="O2073" i="1" s="1"/>
  <c r="P2073" i="1"/>
  <c r="Q2073" i="1"/>
  <c r="Z2073" i="1"/>
  <c r="M2074" i="1"/>
  <c r="O2074" i="1" s="1"/>
  <c r="P2074" i="1"/>
  <c r="Q2074" i="1"/>
  <c r="Z2074" i="1"/>
  <c r="M2075" i="1"/>
  <c r="O2075" i="1" s="1"/>
  <c r="P2075" i="1"/>
  <c r="Q2075" i="1"/>
  <c r="Z2075" i="1"/>
  <c r="M2076" i="1"/>
  <c r="O2076" i="1" s="1"/>
  <c r="P2076" i="1"/>
  <c r="Q2076" i="1"/>
  <c r="Z2076" i="1"/>
  <c r="M2078" i="1"/>
  <c r="O2078" i="1" s="1"/>
  <c r="P2078" i="1"/>
  <c r="Q2078" i="1"/>
  <c r="Z2078" i="1"/>
  <c r="M2079" i="1"/>
  <c r="O2079" i="1" s="1"/>
  <c r="P2079" i="1"/>
  <c r="Q2079" i="1"/>
  <c r="Z2079" i="1"/>
  <c r="M2080" i="1"/>
  <c r="O2080" i="1" s="1"/>
  <c r="Z2080" i="1"/>
  <c r="M2081" i="1"/>
  <c r="O2081" i="1" s="1"/>
  <c r="P2081" i="1"/>
  <c r="Q2081" i="1"/>
  <c r="Z2081" i="1"/>
  <c r="M2082" i="1"/>
  <c r="O2082" i="1" s="1"/>
  <c r="P2082" i="1"/>
  <c r="Q2082" i="1"/>
  <c r="Z2082" i="1"/>
  <c r="M2083" i="1"/>
  <c r="O2083" i="1" s="1"/>
  <c r="Z2083" i="1"/>
  <c r="M2084" i="1"/>
  <c r="O2084" i="1" s="1"/>
  <c r="P2084" i="1"/>
  <c r="Q2084" i="1"/>
  <c r="Z2084" i="1"/>
  <c r="M2085" i="1"/>
  <c r="O2085" i="1" s="1"/>
  <c r="P2085" i="1"/>
  <c r="Q2085" i="1"/>
  <c r="Z2085" i="1"/>
  <c r="M2088" i="1"/>
  <c r="O2088" i="1" s="1"/>
  <c r="P2088" i="1"/>
  <c r="Q2088" i="1"/>
  <c r="Z2088" i="1"/>
  <c r="M2089" i="1"/>
  <c r="O2089" i="1" s="1"/>
  <c r="P2089" i="1"/>
  <c r="Q2089" i="1"/>
  <c r="Z2089" i="1"/>
  <c r="M2090" i="1"/>
  <c r="O2090" i="1" s="1"/>
  <c r="P2090" i="1"/>
  <c r="Q2090" i="1"/>
  <c r="Z2090" i="1"/>
  <c r="M2091" i="1"/>
  <c r="O2091" i="1" s="1"/>
  <c r="P2091" i="1"/>
  <c r="Q2091" i="1"/>
  <c r="Z2091" i="1"/>
  <c r="M2092" i="1"/>
  <c r="O2092" i="1" s="1"/>
  <c r="P2092" i="1"/>
  <c r="Q2092" i="1"/>
  <c r="Z2092" i="1"/>
  <c r="M2093" i="1"/>
  <c r="O2093" i="1" s="1"/>
  <c r="P2093" i="1"/>
  <c r="Q2093" i="1"/>
  <c r="Z2093" i="1"/>
  <c r="M2094" i="1"/>
  <c r="O2094" i="1" s="1"/>
  <c r="P2094" i="1"/>
  <c r="Q2094" i="1"/>
  <c r="Z2094" i="1"/>
  <c r="M2096" i="1"/>
  <c r="O2096" i="1" s="1"/>
  <c r="P2096" i="1"/>
  <c r="Q2096" i="1"/>
  <c r="Z2096" i="1"/>
  <c r="M2097" i="1"/>
  <c r="O2097" i="1" s="1"/>
  <c r="P2097" i="1"/>
  <c r="Q2097" i="1"/>
  <c r="Z2097" i="1"/>
  <c r="M2098" i="1"/>
  <c r="O2098" i="1" s="1"/>
  <c r="P2098" i="1"/>
  <c r="Q2098" i="1"/>
  <c r="Z2098" i="1"/>
  <c r="M2099" i="1"/>
  <c r="O2099" i="1" s="1"/>
  <c r="P2099" i="1"/>
  <c r="Q2099" i="1"/>
  <c r="Z2099" i="1"/>
  <c r="M2101" i="1"/>
  <c r="O2101" i="1" s="1"/>
  <c r="P2101" i="1"/>
  <c r="Q2101" i="1"/>
  <c r="Z2101" i="1"/>
  <c r="M2102" i="1"/>
  <c r="O2102" i="1" s="1"/>
  <c r="P2102" i="1"/>
  <c r="Q2102" i="1"/>
  <c r="Z2102" i="1"/>
  <c r="M2103" i="1"/>
  <c r="O2103" i="1" s="1"/>
  <c r="P2103" i="1"/>
  <c r="Q2103" i="1"/>
  <c r="Z2103" i="1"/>
  <c r="M2104" i="1"/>
  <c r="O2104" i="1" s="1"/>
  <c r="P2104" i="1"/>
  <c r="Q2104" i="1"/>
  <c r="Z2104" i="1"/>
  <c r="M2105" i="1"/>
  <c r="O2105" i="1" s="1"/>
  <c r="P2105" i="1"/>
  <c r="Q2105" i="1"/>
  <c r="Z2105" i="1"/>
  <c r="M2106" i="1"/>
  <c r="O2106" i="1" s="1"/>
  <c r="P2106" i="1"/>
  <c r="Q2106" i="1"/>
  <c r="Z2106" i="1"/>
  <c r="M2107" i="1"/>
  <c r="O2107" i="1" s="1"/>
  <c r="P2107" i="1"/>
  <c r="Q2107" i="1"/>
  <c r="Z2107" i="1"/>
  <c r="M2108" i="1"/>
  <c r="O2108" i="1" s="1"/>
  <c r="P2108" i="1"/>
  <c r="Q2108" i="1"/>
  <c r="Z2108" i="1"/>
  <c r="M2109" i="1"/>
  <c r="O2109" i="1" s="1"/>
  <c r="P2109" i="1"/>
  <c r="Q2109" i="1"/>
  <c r="Z2109" i="1"/>
  <c r="M2110" i="1"/>
  <c r="O2110" i="1" s="1"/>
  <c r="P2110" i="1"/>
  <c r="Q2110" i="1"/>
  <c r="Z2110" i="1"/>
  <c r="M2112" i="1"/>
  <c r="O2112" i="1" s="1"/>
  <c r="P2112" i="1"/>
  <c r="Q2112" i="1"/>
  <c r="Z2112" i="1"/>
  <c r="M2113" i="1"/>
  <c r="O2113" i="1" s="1"/>
  <c r="P2113" i="1"/>
  <c r="Q2113" i="1"/>
  <c r="Z2113" i="1"/>
  <c r="M2114" i="1"/>
  <c r="O2114" i="1" s="1"/>
  <c r="P2114" i="1"/>
  <c r="Q2114" i="1"/>
  <c r="Z2114" i="1"/>
  <c r="M2115" i="1"/>
  <c r="O2115" i="1" s="1"/>
  <c r="P2115" i="1"/>
  <c r="Q2115" i="1"/>
  <c r="Z2115" i="1"/>
  <c r="M2116" i="1"/>
  <c r="O2116" i="1" s="1"/>
  <c r="P2116" i="1"/>
  <c r="Q2116" i="1"/>
  <c r="Z2116" i="1"/>
  <c r="M2117" i="1"/>
  <c r="O2117" i="1" s="1"/>
  <c r="P2117" i="1"/>
  <c r="Q2117" i="1"/>
  <c r="Z2117" i="1"/>
  <c r="M2118" i="1"/>
  <c r="O2118" i="1" s="1"/>
  <c r="P2118" i="1"/>
  <c r="Q2118" i="1"/>
  <c r="Z2118" i="1"/>
  <c r="M2119" i="1"/>
  <c r="O2119" i="1" s="1"/>
  <c r="P2119" i="1"/>
  <c r="Q2119" i="1"/>
  <c r="Z2119" i="1"/>
  <c r="M2120" i="1"/>
  <c r="O2120" i="1" s="1"/>
  <c r="P2120" i="1"/>
  <c r="Q2120" i="1"/>
  <c r="Z2120" i="1"/>
  <c r="M2122" i="1"/>
  <c r="O2122" i="1" s="1"/>
  <c r="P2122" i="1"/>
  <c r="Q2122" i="1"/>
  <c r="Z2122" i="1"/>
  <c r="M2123" i="1"/>
  <c r="O2123" i="1" s="1"/>
  <c r="P2123" i="1"/>
  <c r="Q2123" i="1"/>
  <c r="Z2123" i="1"/>
  <c r="M2124" i="1"/>
  <c r="O2124" i="1" s="1"/>
  <c r="P2124" i="1"/>
  <c r="Q2124" i="1"/>
  <c r="Z2124" i="1"/>
  <c r="M2125" i="1"/>
  <c r="O2125" i="1" s="1"/>
  <c r="P2125" i="1"/>
  <c r="Q2125" i="1"/>
  <c r="Z2125" i="1"/>
  <c r="M2127" i="1"/>
  <c r="O2127" i="1" s="1"/>
  <c r="P2127" i="1"/>
  <c r="Q2127" i="1"/>
  <c r="M2129" i="1"/>
  <c r="O2129" i="1" s="1"/>
  <c r="P2129" i="1"/>
  <c r="Q2129" i="1"/>
  <c r="Z2129" i="1"/>
  <c r="M2130" i="1"/>
  <c r="O2130" i="1" s="1"/>
  <c r="P2130" i="1"/>
  <c r="Q2130" i="1"/>
  <c r="Z2130" i="1"/>
  <c r="M2132" i="1"/>
  <c r="O2132" i="1" s="1"/>
  <c r="Z2132" i="1"/>
  <c r="M2133" i="1"/>
  <c r="O2133" i="1" s="1"/>
  <c r="Z2133" i="1"/>
  <c r="M2135" i="1"/>
  <c r="O2135" i="1" s="1"/>
  <c r="P2135" i="1"/>
  <c r="Q2135" i="1"/>
  <c r="Z2135" i="1"/>
  <c r="M2136" i="1"/>
  <c r="O2136" i="1" s="1"/>
  <c r="P2136" i="1"/>
  <c r="Q2136" i="1"/>
  <c r="Z2136" i="1"/>
  <c r="M2137" i="1"/>
  <c r="O2137" i="1" s="1"/>
  <c r="P2137" i="1"/>
  <c r="Q2137" i="1"/>
  <c r="Z2137" i="1"/>
  <c r="M2138" i="1"/>
  <c r="O2138" i="1" s="1"/>
  <c r="P2138" i="1"/>
  <c r="Q2138" i="1"/>
  <c r="Z2138" i="1"/>
  <c r="M2139" i="1"/>
  <c r="O2139" i="1" s="1"/>
  <c r="P2139" i="1"/>
  <c r="Q2139" i="1"/>
  <c r="Z2139" i="1"/>
  <c r="M2140" i="1"/>
  <c r="O2140" i="1" s="1"/>
  <c r="P2140" i="1"/>
  <c r="Q2140" i="1"/>
  <c r="Z2140" i="1"/>
  <c r="M2141" i="1"/>
  <c r="O2141" i="1" s="1"/>
  <c r="P2141" i="1"/>
  <c r="Q2141" i="1"/>
  <c r="Z2141" i="1"/>
  <c r="M2142" i="1"/>
  <c r="O2142" i="1" s="1"/>
  <c r="P2142" i="1"/>
  <c r="Q2142" i="1"/>
  <c r="Z2142" i="1"/>
  <c r="M2144" i="1"/>
  <c r="O2144" i="1" s="1"/>
  <c r="P2144" i="1"/>
  <c r="Q2144" i="1"/>
  <c r="Z2144" i="1"/>
  <c r="M2145" i="1"/>
  <c r="O2145" i="1" s="1"/>
  <c r="P2145" i="1"/>
  <c r="Q2145" i="1"/>
  <c r="Z2145" i="1"/>
  <c r="M2146" i="1"/>
  <c r="O2146" i="1" s="1"/>
  <c r="Z2146" i="1"/>
  <c r="M2148" i="1"/>
  <c r="O2148" i="1" s="1"/>
  <c r="P2148" i="1"/>
  <c r="Q2148" i="1"/>
  <c r="Z2148" i="1"/>
  <c r="M2150" i="1"/>
  <c r="O2150" i="1" s="1"/>
  <c r="P2150" i="1"/>
  <c r="Q2150" i="1"/>
  <c r="Z2150" i="1"/>
  <c r="M2151" i="1"/>
  <c r="O2151" i="1" s="1"/>
  <c r="P2151" i="1"/>
  <c r="Q2151" i="1"/>
  <c r="Z2151" i="1"/>
  <c r="M2152" i="1"/>
  <c r="O2152" i="1" s="1"/>
  <c r="P2152" i="1"/>
  <c r="Q2152" i="1"/>
  <c r="Z2152" i="1"/>
  <c r="M2153" i="1"/>
  <c r="O2153" i="1" s="1"/>
  <c r="P2153" i="1"/>
  <c r="Q2153" i="1"/>
  <c r="Z2153" i="1"/>
  <c r="M2154" i="1"/>
  <c r="O2154" i="1" s="1"/>
  <c r="P2154" i="1"/>
  <c r="Q2154" i="1"/>
  <c r="Z2154" i="1"/>
  <c r="M2155" i="1"/>
  <c r="O2155" i="1" s="1"/>
  <c r="P2155" i="1"/>
  <c r="Q2155" i="1"/>
  <c r="Z2155" i="1"/>
  <c r="M2157" i="1"/>
  <c r="O2157" i="1" s="1"/>
  <c r="P2157" i="1"/>
  <c r="Q2157" i="1"/>
  <c r="Z2157" i="1"/>
  <c r="M2158" i="1"/>
  <c r="O2158" i="1" s="1"/>
  <c r="P2158" i="1"/>
  <c r="Q2158" i="1"/>
  <c r="Z2158" i="1"/>
  <c r="M2159" i="1"/>
  <c r="O2159" i="1" s="1"/>
  <c r="P2159" i="1"/>
  <c r="Q2159" i="1"/>
  <c r="Z2159" i="1"/>
  <c r="M2160" i="1"/>
  <c r="O2160" i="1" s="1"/>
  <c r="P2160" i="1"/>
  <c r="Q2160" i="1"/>
  <c r="Z2160" i="1"/>
  <c r="M2163" i="1"/>
  <c r="O2163" i="1" s="1"/>
  <c r="Z2163" i="1"/>
  <c r="M2164" i="1"/>
  <c r="O2164" i="1" s="1"/>
  <c r="P2164" i="1"/>
  <c r="Q2164" i="1"/>
  <c r="Z2164" i="1"/>
  <c r="M2166" i="1"/>
  <c r="O2166" i="1" s="1"/>
  <c r="P2166" i="1"/>
  <c r="Q2166" i="1"/>
  <c r="Z2166" i="1"/>
  <c r="M2167" i="1"/>
  <c r="O2167" i="1"/>
  <c r="P2167" i="1"/>
  <c r="Q2167" i="1"/>
  <c r="Z2167" i="1"/>
  <c r="M2168" i="1"/>
  <c r="O2168" i="1" s="1"/>
  <c r="P2168" i="1"/>
  <c r="Q2168" i="1"/>
  <c r="Z2168" i="1"/>
  <c r="M2169" i="1"/>
  <c r="O2169" i="1" s="1"/>
  <c r="P2169" i="1"/>
  <c r="Q2169" i="1"/>
  <c r="Z2169" i="1"/>
  <c r="M2171" i="1"/>
  <c r="O2171" i="1" s="1"/>
  <c r="P2171" i="1"/>
  <c r="Q2171" i="1"/>
  <c r="Z2171" i="1"/>
  <c r="M2172" i="1"/>
  <c r="O2172" i="1" s="1"/>
  <c r="P2172" i="1"/>
  <c r="Q2172" i="1"/>
  <c r="Z2172" i="1"/>
  <c r="M2173" i="1"/>
  <c r="O2173" i="1" s="1"/>
  <c r="P2173" i="1"/>
  <c r="Q2173" i="1"/>
  <c r="Z2173" i="1"/>
  <c r="M2174" i="1"/>
  <c r="O2174" i="1" s="1"/>
  <c r="P2174" i="1"/>
  <c r="Q2174" i="1"/>
  <c r="Z2174" i="1"/>
  <c r="M2175" i="1"/>
  <c r="O2175" i="1" s="1"/>
  <c r="P2175" i="1"/>
  <c r="Q2175" i="1"/>
  <c r="Z2175" i="1"/>
  <c r="M2176" i="1"/>
  <c r="O2176" i="1" s="1"/>
  <c r="P2176" i="1"/>
  <c r="Q2176" i="1"/>
  <c r="Z2176" i="1"/>
  <c r="M2179" i="1"/>
  <c r="O2179" i="1" s="1"/>
  <c r="P2179" i="1"/>
  <c r="Q2179" i="1"/>
  <c r="Z2179" i="1"/>
  <c r="M2181" i="1"/>
  <c r="O2181" i="1" s="1"/>
  <c r="P2181" i="1"/>
  <c r="Q2181" i="1"/>
  <c r="Z2181" i="1"/>
  <c r="M2182" i="1"/>
  <c r="O2182" i="1" s="1"/>
  <c r="P2182" i="1"/>
  <c r="Q2182" i="1"/>
  <c r="Z2182" i="1"/>
  <c r="M2183" i="1"/>
  <c r="O2183" i="1" s="1"/>
  <c r="P2183" i="1"/>
  <c r="Q2183" i="1"/>
  <c r="Z2183" i="1"/>
  <c r="M2184" i="1"/>
  <c r="O2184" i="1" s="1"/>
  <c r="P2184" i="1"/>
  <c r="Q2184" i="1"/>
  <c r="Z2184" i="1"/>
  <c r="M2185" i="1"/>
  <c r="O2185" i="1" s="1"/>
  <c r="P2185" i="1"/>
  <c r="Q2185" i="1"/>
  <c r="Z2185" i="1"/>
  <c r="M2186" i="1"/>
  <c r="O2186" i="1" s="1"/>
  <c r="P2186" i="1"/>
  <c r="Q2186" i="1"/>
  <c r="Z2186" i="1"/>
  <c r="M2187" i="1"/>
  <c r="O2187" i="1" s="1"/>
  <c r="P2187" i="1"/>
  <c r="Q2187" i="1"/>
  <c r="Z2187" i="1"/>
  <c r="M2188" i="1"/>
  <c r="O2188" i="1" s="1"/>
  <c r="P2188" i="1"/>
  <c r="Q2188" i="1"/>
  <c r="Z2188" i="1"/>
  <c r="M2189" i="1"/>
  <c r="O2189" i="1" s="1"/>
  <c r="P2189" i="1"/>
  <c r="Q2189" i="1"/>
  <c r="Z2189" i="1"/>
  <c r="M2190" i="1"/>
  <c r="O2190" i="1" s="1"/>
  <c r="P2190" i="1"/>
  <c r="Q2190" i="1"/>
  <c r="Z2190" i="1"/>
  <c r="M2191" i="1"/>
  <c r="O2191" i="1" s="1"/>
  <c r="P2191" i="1"/>
  <c r="Q2191" i="1"/>
  <c r="Z2191" i="1"/>
  <c r="M2192" i="1"/>
  <c r="O2192" i="1" s="1"/>
  <c r="P2192" i="1"/>
  <c r="Q2192" i="1"/>
  <c r="Z2192" i="1"/>
  <c r="M2194" i="1"/>
  <c r="O2194" i="1" s="1"/>
  <c r="P2194" i="1"/>
  <c r="Q2194" i="1"/>
  <c r="Z2194" i="1"/>
  <c r="M2195" i="1"/>
  <c r="O2195" i="1" s="1"/>
  <c r="P2195" i="1"/>
  <c r="Q2195" i="1"/>
  <c r="Z2195" i="1"/>
  <c r="M2196" i="1"/>
  <c r="O2196" i="1" s="1"/>
  <c r="P2196" i="1"/>
  <c r="Q2196" i="1"/>
  <c r="Z2196" i="1"/>
  <c r="M2197" i="1"/>
  <c r="O2197" i="1" s="1"/>
  <c r="P2197" i="1"/>
  <c r="Q2197" i="1"/>
  <c r="Z2197" i="1"/>
  <c r="M2198" i="1"/>
  <c r="O2198" i="1" s="1"/>
  <c r="P2198" i="1"/>
  <c r="Q2198" i="1"/>
  <c r="Z2198" i="1"/>
  <c r="M2199" i="1"/>
  <c r="O2199" i="1" s="1"/>
  <c r="P2199" i="1"/>
  <c r="Q2199" i="1"/>
  <c r="Z2199" i="1"/>
  <c r="M2200" i="1"/>
  <c r="O2200" i="1" s="1"/>
  <c r="P2200" i="1"/>
  <c r="Q2200" i="1"/>
  <c r="Z2200" i="1"/>
  <c r="M2201" i="1"/>
  <c r="O2201" i="1" s="1"/>
  <c r="P2201" i="1"/>
  <c r="Q2201" i="1"/>
  <c r="Z2201" i="1"/>
  <c r="M2202" i="1"/>
  <c r="O2202" i="1" s="1"/>
  <c r="P2202" i="1"/>
  <c r="Q2202" i="1"/>
  <c r="Z2202" i="1"/>
  <c r="M2203" i="1"/>
  <c r="O2203" i="1" s="1"/>
  <c r="P2203" i="1"/>
  <c r="Q2203" i="1"/>
  <c r="Z2203" i="1"/>
  <c r="M2204" i="1"/>
  <c r="O2204" i="1" s="1"/>
  <c r="P2204" i="1"/>
  <c r="Q2204" i="1"/>
  <c r="Z2204" i="1"/>
  <c r="M2205" i="1"/>
  <c r="O2205" i="1" s="1"/>
  <c r="P2205" i="1"/>
  <c r="Q2205" i="1"/>
  <c r="Z2205" i="1"/>
  <c r="M2206" i="1"/>
  <c r="O2206" i="1" s="1"/>
  <c r="P2206" i="1"/>
  <c r="Q2206" i="1"/>
  <c r="Z2206" i="1"/>
  <c r="M2207" i="1"/>
  <c r="O2207" i="1" s="1"/>
  <c r="P2207" i="1"/>
  <c r="Q2207" i="1"/>
  <c r="Z2207" i="1"/>
  <c r="M2209" i="1"/>
  <c r="O2209" i="1"/>
  <c r="P2209" i="1"/>
  <c r="Q2209" i="1"/>
  <c r="Z2209" i="1"/>
  <c r="M2211" i="1"/>
  <c r="O2211" i="1" s="1"/>
  <c r="P2211" i="1"/>
  <c r="Q2211" i="1"/>
  <c r="Z2211" i="1"/>
  <c r="M2212" i="1"/>
  <c r="O2212" i="1" s="1"/>
  <c r="P2212" i="1"/>
  <c r="Q2212" i="1"/>
  <c r="Z2212" i="1"/>
  <c r="M2213" i="1"/>
  <c r="O2213" i="1" s="1"/>
  <c r="P2213" i="1"/>
  <c r="Q2213" i="1"/>
  <c r="Z2213" i="1"/>
  <c r="M2214" i="1"/>
  <c r="O2214" i="1" s="1"/>
  <c r="P2214" i="1"/>
  <c r="Q2214" i="1"/>
  <c r="Z2214" i="1"/>
  <c r="M2216" i="1"/>
  <c r="O2216" i="1" s="1"/>
  <c r="P2216" i="1"/>
  <c r="Q2216" i="1"/>
  <c r="Z2216" i="1"/>
  <c r="M2217" i="1"/>
  <c r="O2217" i="1" s="1"/>
  <c r="P2217" i="1"/>
  <c r="Q2217" i="1"/>
  <c r="Z2217" i="1"/>
  <c r="M2218" i="1"/>
  <c r="O2218" i="1" s="1"/>
  <c r="P2218" i="1"/>
  <c r="Q2218" i="1"/>
  <c r="Z2218" i="1"/>
  <c r="M2219" i="1"/>
  <c r="O2219" i="1" s="1"/>
  <c r="P2219" i="1"/>
  <c r="Q2219" i="1"/>
  <c r="Z2219" i="1"/>
  <c r="M2221" i="1"/>
  <c r="O2221" i="1" s="1"/>
  <c r="P2221" i="1"/>
  <c r="Q2221" i="1"/>
  <c r="Z2221" i="1"/>
  <c r="M2222" i="1"/>
  <c r="O2222" i="1" s="1"/>
  <c r="P2222" i="1"/>
  <c r="Q2222" i="1"/>
  <c r="Z2222" i="1"/>
  <c r="M2223" i="1"/>
  <c r="O2223" i="1" s="1"/>
  <c r="P2223" i="1"/>
  <c r="Q2223" i="1"/>
  <c r="Z2223" i="1"/>
  <c r="M2224" i="1"/>
  <c r="O2224" i="1" s="1"/>
  <c r="P2224" i="1"/>
  <c r="Q2224" i="1"/>
  <c r="Z2224" i="1"/>
  <c r="M2225" i="1"/>
  <c r="O2225" i="1" s="1"/>
  <c r="P2225" i="1"/>
  <c r="Q2225" i="1"/>
  <c r="Z2225" i="1"/>
  <c r="M2226" i="1"/>
  <c r="O2226" i="1" s="1"/>
  <c r="P2226" i="1"/>
  <c r="Q2226" i="1"/>
  <c r="Z2226" i="1"/>
  <c r="M2227" i="1"/>
  <c r="O2227" i="1" s="1"/>
  <c r="P2227" i="1"/>
  <c r="Q2227" i="1"/>
  <c r="Z2227" i="1"/>
  <c r="M2228" i="1"/>
  <c r="O2228" i="1" s="1"/>
  <c r="P2228" i="1"/>
  <c r="Q2228" i="1"/>
  <c r="Z2228" i="1"/>
  <c r="M2229" i="1"/>
  <c r="O2229" i="1" s="1"/>
  <c r="P2229" i="1"/>
  <c r="Q2229" i="1"/>
  <c r="Z2229" i="1"/>
  <c r="M2230" i="1"/>
  <c r="O2230" i="1" s="1"/>
  <c r="P2230" i="1"/>
  <c r="Q2230" i="1"/>
  <c r="Z2230" i="1"/>
  <c r="M2231" i="1"/>
  <c r="O2231" i="1" s="1"/>
  <c r="P2231" i="1"/>
  <c r="Q2231" i="1"/>
  <c r="Z2231" i="1"/>
  <c r="M2232" i="1"/>
  <c r="O2232" i="1" s="1"/>
  <c r="P2232" i="1"/>
  <c r="Q2232" i="1"/>
  <c r="Z2232" i="1"/>
  <c r="M2233" i="1"/>
  <c r="O2233" i="1" s="1"/>
  <c r="P2233" i="1"/>
  <c r="Q2233" i="1"/>
  <c r="Z2233" i="1"/>
  <c r="M2234" i="1"/>
  <c r="O2234" i="1" s="1"/>
  <c r="P2234" i="1"/>
  <c r="Q2234" i="1"/>
  <c r="Z2234" i="1"/>
  <c r="M2235" i="1"/>
  <c r="O2235" i="1" s="1"/>
  <c r="P2235" i="1"/>
  <c r="Q2235" i="1"/>
  <c r="Z2235" i="1"/>
  <c r="M2236" i="1"/>
  <c r="O2236" i="1" s="1"/>
  <c r="P2236" i="1"/>
  <c r="Q2236" i="1"/>
  <c r="Z2236" i="1"/>
  <c r="M2237" i="1"/>
  <c r="O2237" i="1" s="1"/>
  <c r="P2237" i="1"/>
  <c r="Q2237" i="1"/>
  <c r="Z2237" i="1"/>
  <c r="M2238" i="1"/>
  <c r="O2238" i="1" s="1"/>
  <c r="P2238" i="1"/>
  <c r="Q2238" i="1"/>
  <c r="Z2238" i="1"/>
  <c r="M2239" i="1"/>
  <c r="O2239" i="1" s="1"/>
  <c r="P2239" i="1"/>
  <c r="Q2239" i="1"/>
  <c r="Z2239" i="1"/>
  <c r="M2240" i="1"/>
  <c r="O2240" i="1"/>
  <c r="P2240" i="1"/>
  <c r="Q2240" i="1"/>
  <c r="Z2240" i="1"/>
  <c r="M2241" i="1"/>
  <c r="O2241" i="1" s="1"/>
  <c r="P2241" i="1"/>
  <c r="Q2241" i="1"/>
  <c r="Z2241" i="1"/>
  <c r="M2242" i="1"/>
  <c r="O2242" i="1" s="1"/>
  <c r="P2242" i="1"/>
  <c r="Q2242" i="1"/>
  <c r="Z2242" i="1"/>
  <c r="M2243" i="1"/>
  <c r="O2243" i="1" s="1"/>
  <c r="P2243" i="1"/>
  <c r="Q2243" i="1"/>
  <c r="Z2243" i="1"/>
  <c r="M2244" i="1"/>
  <c r="O2244" i="1" s="1"/>
  <c r="P2244" i="1"/>
  <c r="Q2244" i="1"/>
  <c r="Z2244" i="1"/>
  <c r="M2245" i="1"/>
  <c r="O2245" i="1" s="1"/>
  <c r="P2245" i="1"/>
  <c r="Q2245" i="1"/>
  <c r="Z2245" i="1"/>
  <c r="M2246" i="1"/>
  <c r="O2246" i="1" s="1"/>
  <c r="P2246" i="1"/>
  <c r="Q2246" i="1"/>
  <c r="Z2246" i="1"/>
  <c r="M2247" i="1"/>
  <c r="O2247" i="1" s="1"/>
  <c r="P2247" i="1"/>
  <c r="Q2247" i="1"/>
  <c r="Z2247" i="1"/>
  <c r="M2248" i="1"/>
  <c r="O2248" i="1" s="1"/>
  <c r="P2248" i="1"/>
  <c r="Q2248" i="1"/>
  <c r="Z2248" i="1"/>
  <c r="M2249" i="1"/>
  <c r="O2249" i="1" s="1"/>
  <c r="P2249" i="1"/>
  <c r="Q2249" i="1"/>
  <c r="Z2249" i="1"/>
  <c r="M2250" i="1"/>
  <c r="O2250" i="1" s="1"/>
  <c r="P2250" i="1"/>
  <c r="Q2250" i="1"/>
  <c r="Z2250" i="1"/>
  <c r="M2251" i="1"/>
  <c r="O2251" i="1" s="1"/>
  <c r="P2251" i="1"/>
  <c r="Q2251" i="1"/>
  <c r="Z2251" i="1"/>
  <c r="M2252" i="1"/>
  <c r="O2252" i="1" s="1"/>
  <c r="P2252" i="1"/>
  <c r="Q2252" i="1"/>
  <c r="Z2252" i="1"/>
  <c r="M2253" i="1"/>
  <c r="O2253" i="1" s="1"/>
  <c r="P2253" i="1"/>
  <c r="Q2253" i="1"/>
  <c r="Z2253" i="1"/>
  <c r="M2254" i="1"/>
  <c r="O2254" i="1" s="1"/>
  <c r="P2254" i="1"/>
  <c r="Q2254" i="1"/>
  <c r="Z2254" i="1"/>
  <c r="M2255" i="1"/>
  <c r="O2255" i="1" s="1"/>
  <c r="P2255" i="1"/>
  <c r="Q2255" i="1"/>
  <c r="Z2255" i="1"/>
  <c r="M2256" i="1"/>
  <c r="O2256" i="1" s="1"/>
  <c r="P2256" i="1"/>
  <c r="Q2256" i="1"/>
  <c r="Z2256" i="1"/>
  <c r="M2257" i="1"/>
  <c r="O2257" i="1" s="1"/>
  <c r="P2257" i="1"/>
  <c r="Q2257" i="1"/>
  <c r="Z2257" i="1"/>
  <c r="M2258" i="1"/>
  <c r="O2258" i="1" s="1"/>
  <c r="P2258" i="1"/>
  <c r="Q2258" i="1"/>
  <c r="Z2258" i="1"/>
  <c r="M2259" i="1"/>
  <c r="O2259" i="1" s="1"/>
  <c r="P2259" i="1"/>
  <c r="Q2259" i="1"/>
  <c r="Z2259" i="1"/>
  <c r="M2260" i="1"/>
  <c r="O2260" i="1" s="1"/>
  <c r="P2260" i="1"/>
  <c r="Q2260" i="1"/>
  <c r="Z2260" i="1"/>
  <c r="M2261" i="1"/>
  <c r="O2261" i="1" s="1"/>
  <c r="P2261" i="1"/>
  <c r="Q2261" i="1"/>
  <c r="Z2261" i="1"/>
  <c r="M2262" i="1"/>
  <c r="O2262" i="1" s="1"/>
  <c r="P2262" i="1"/>
  <c r="Q2262" i="1"/>
  <c r="Z2262" i="1"/>
  <c r="M2263" i="1"/>
  <c r="O2263" i="1" s="1"/>
  <c r="P2263" i="1"/>
  <c r="Q2263" i="1"/>
  <c r="Z2263" i="1"/>
  <c r="M2264" i="1"/>
  <c r="O2264" i="1" s="1"/>
  <c r="P2264" i="1"/>
  <c r="Q2264" i="1"/>
  <c r="Z2264" i="1"/>
  <c r="M2265" i="1"/>
  <c r="O2265" i="1" s="1"/>
  <c r="P2265" i="1"/>
  <c r="Q2265" i="1"/>
  <c r="Z2265" i="1"/>
  <c r="M2266" i="1"/>
  <c r="O2266" i="1" s="1"/>
  <c r="P2266" i="1"/>
  <c r="Q2266" i="1"/>
  <c r="Z2266" i="1"/>
  <c r="M2267" i="1"/>
  <c r="O2267" i="1" s="1"/>
  <c r="P2267" i="1"/>
  <c r="Q2267" i="1"/>
  <c r="Z2267" i="1"/>
  <c r="M2268" i="1"/>
  <c r="O2268" i="1" s="1"/>
  <c r="P2268" i="1"/>
  <c r="Q2268" i="1"/>
  <c r="Z2268" i="1"/>
  <c r="M2269" i="1"/>
  <c r="O2269" i="1" s="1"/>
  <c r="P2269" i="1"/>
  <c r="Q2269" i="1"/>
  <c r="Z2269" i="1"/>
  <c r="M2270" i="1"/>
  <c r="O2270" i="1" s="1"/>
  <c r="P2270" i="1"/>
  <c r="Q2270" i="1"/>
  <c r="Z2270" i="1"/>
  <c r="M2272" i="1"/>
  <c r="O2272" i="1" s="1"/>
  <c r="P2272" i="1"/>
  <c r="Q2272" i="1"/>
  <c r="Z2272" i="1"/>
  <c r="M2273" i="1"/>
  <c r="O2273" i="1" s="1"/>
  <c r="P2273" i="1"/>
  <c r="Q2273" i="1"/>
  <c r="Z2273" i="1"/>
  <c r="M2275" i="1"/>
  <c r="O2275" i="1" s="1"/>
  <c r="P2275" i="1"/>
  <c r="Q2275" i="1"/>
  <c r="Z2275" i="1"/>
  <c r="M2277" i="1"/>
  <c r="O2277" i="1" s="1"/>
  <c r="P2277" i="1"/>
  <c r="Q2277" i="1"/>
  <c r="Z2277" i="1"/>
  <c r="M2278" i="1"/>
  <c r="O2278" i="1" s="1"/>
  <c r="P2278" i="1"/>
  <c r="Q2278" i="1"/>
  <c r="Z2278" i="1"/>
  <c r="M2279" i="1"/>
  <c r="O2279" i="1"/>
  <c r="P2279" i="1"/>
  <c r="Q2279" i="1"/>
  <c r="Z2279" i="1"/>
  <c r="M2280" i="1"/>
  <c r="O2280" i="1" s="1"/>
  <c r="P2280" i="1"/>
  <c r="Q2280" i="1"/>
  <c r="Z2280" i="1"/>
  <c r="M2283" i="1"/>
  <c r="O2283" i="1" s="1"/>
  <c r="P2283" i="1"/>
  <c r="Q2283" i="1"/>
  <c r="Z2283" i="1"/>
  <c r="M2285" i="1"/>
  <c r="O2285" i="1" s="1"/>
  <c r="P2285" i="1"/>
  <c r="Q2285" i="1"/>
  <c r="Z2285" i="1"/>
  <c r="M2286" i="1"/>
  <c r="O2286" i="1" s="1"/>
  <c r="P2286" i="1"/>
  <c r="Q2286" i="1"/>
  <c r="Z2286" i="1"/>
  <c r="M2287" i="1"/>
  <c r="O2287" i="1" s="1"/>
  <c r="P2287" i="1"/>
  <c r="Q2287" i="1"/>
  <c r="Z2287" i="1"/>
  <c r="M2288" i="1"/>
  <c r="O2288" i="1" s="1"/>
  <c r="P2288" i="1"/>
  <c r="Q2288" i="1"/>
  <c r="Z2288" i="1"/>
  <c r="M2289" i="1"/>
  <c r="O2289" i="1" s="1"/>
  <c r="P2289" i="1"/>
  <c r="Q2289" i="1"/>
  <c r="Z2289" i="1"/>
  <c r="M2290" i="1"/>
  <c r="O2290" i="1" s="1"/>
  <c r="P2290" i="1"/>
  <c r="Q2290" i="1"/>
  <c r="Z2290" i="1"/>
  <c r="M2291" i="1"/>
  <c r="O2291" i="1" s="1"/>
  <c r="P2291" i="1"/>
  <c r="Q2291" i="1"/>
  <c r="Z2291" i="1"/>
  <c r="M2292" i="1"/>
  <c r="O2292" i="1" s="1"/>
  <c r="P2292" i="1"/>
  <c r="Q2292" i="1"/>
  <c r="Z2292" i="1"/>
  <c r="M2294" i="1"/>
  <c r="O2294" i="1" s="1"/>
  <c r="Z2294" i="1"/>
  <c r="M2295" i="1"/>
  <c r="O2295" i="1" s="1"/>
  <c r="P2295" i="1"/>
  <c r="Q2295" i="1"/>
  <c r="Z2295" i="1"/>
  <c r="M2296" i="1"/>
  <c r="O2296" i="1" s="1"/>
  <c r="P2296" i="1"/>
  <c r="Q2296" i="1"/>
  <c r="Z2296" i="1"/>
  <c r="M2297" i="1"/>
  <c r="O2297" i="1" s="1"/>
  <c r="P2297" i="1"/>
  <c r="Q2297" i="1"/>
  <c r="Z2297" i="1"/>
  <c r="M2299" i="1"/>
  <c r="O2299" i="1" s="1"/>
  <c r="P2299" i="1"/>
  <c r="Q2299" i="1"/>
  <c r="Z2299" i="1"/>
  <c r="M2300" i="1"/>
  <c r="O2300" i="1" s="1"/>
  <c r="P2300" i="1"/>
  <c r="Q2300" i="1"/>
  <c r="Z2300" i="1"/>
  <c r="M2301" i="1"/>
  <c r="O2301" i="1" s="1"/>
  <c r="Z2301" i="1"/>
  <c r="M2303" i="1"/>
  <c r="O2303" i="1" s="1"/>
  <c r="P2303" i="1"/>
  <c r="Q2303" i="1"/>
  <c r="Z2303" i="1"/>
  <c r="M2304" i="1"/>
  <c r="O2304" i="1" s="1"/>
  <c r="P2304" i="1"/>
  <c r="Q2304" i="1"/>
  <c r="Z2304" i="1"/>
  <c r="M2306" i="1"/>
  <c r="O2306" i="1" s="1"/>
  <c r="P2306" i="1"/>
  <c r="Q2306" i="1"/>
  <c r="Z2306" i="1"/>
  <c r="M2307" i="1"/>
  <c r="O2307" i="1" s="1"/>
  <c r="P2307" i="1"/>
  <c r="Q2307" i="1"/>
  <c r="Z2307" i="1"/>
  <c r="M2308" i="1"/>
  <c r="O2308" i="1" s="1"/>
  <c r="P2308" i="1"/>
  <c r="Q2308" i="1"/>
  <c r="Z2308" i="1"/>
  <c r="M2309" i="1"/>
  <c r="O2309" i="1" s="1"/>
  <c r="P2309" i="1"/>
  <c r="Q2309" i="1"/>
  <c r="Z2309" i="1"/>
  <c r="M2310" i="1"/>
  <c r="O2310" i="1" s="1"/>
  <c r="P2310" i="1"/>
  <c r="Q2310" i="1"/>
  <c r="Z2310" i="1"/>
  <c r="M2311" i="1"/>
  <c r="O2311" i="1" s="1"/>
  <c r="P2311" i="1"/>
  <c r="Q2311" i="1"/>
  <c r="Z2311" i="1"/>
  <c r="M2312" i="1"/>
  <c r="O2312" i="1" s="1"/>
  <c r="P2312" i="1"/>
  <c r="Q2312" i="1"/>
  <c r="Z2312" i="1"/>
  <c r="M2314" i="1"/>
  <c r="O2314" i="1" s="1"/>
  <c r="P2314" i="1"/>
  <c r="Q2314" i="1"/>
  <c r="Z2314" i="1"/>
  <c r="M2315" i="1"/>
  <c r="O2315" i="1" s="1"/>
  <c r="P2315" i="1"/>
  <c r="Q2315" i="1"/>
  <c r="Z2315" i="1"/>
  <c r="M2316" i="1"/>
  <c r="O2316" i="1" s="1"/>
  <c r="P2316" i="1"/>
  <c r="Q2316" i="1"/>
  <c r="Z2316" i="1"/>
  <c r="M2318" i="1"/>
  <c r="O2318" i="1" s="1"/>
  <c r="Z2318" i="1"/>
  <c r="M2319" i="1"/>
  <c r="O2319" i="1" s="1"/>
  <c r="Z2319" i="1"/>
  <c r="M2320" i="1"/>
  <c r="O2320" i="1" s="1"/>
  <c r="Z2320" i="1"/>
  <c r="M2321" i="1"/>
  <c r="O2321" i="1" s="1"/>
  <c r="Z2321" i="1"/>
  <c r="M2322" i="1"/>
  <c r="O2322" i="1" s="1"/>
  <c r="Z2322" i="1"/>
  <c r="M2323" i="1"/>
  <c r="O2323" i="1" s="1"/>
  <c r="P2323" i="1"/>
  <c r="Q2323" i="1"/>
  <c r="Z2323" i="1"/>
  <c r="M2324" i="1"/>
  <c r="O2324" i="1" s="1"/>
  <c r="Z2324" i="1"/>
  <c r="M2325" i="1"/>
  <c r="O2325" i="1" s="1"/>
  <c r="Z2325" i="1"/>
  <c r="M2326" i="1"/>
  <c r="O2326" i="1" s="1"/>
  <c r="Z2326" i="1"/>
  <c r="M2327" i="1"/>
  <c r="O2327" i="1" s="1"/>
  <c r="Z2327" i="1"/>
  <c r="M2328" i="1"/>
  <c r="O2328" i="1" s="1"/>
  <c r="P2328" i="1"/>
  <c r="Z2328" i="1"/>
  <c r="M2329" i="1"/>
  <c r="O2329" i="1" s="1"/>
  <c r="P2329" i="1"/>
  <c r="Z2329" i="1"/>
  <c r="M2330" i="1"/>
  <c r="O2330" i="1" s="1"/>
  <c r="Z2330" i="1"/>
  <c r="M2332" i="1"/>
  <c r="O2332" i="1" s="1"/>
  <c r="P2332" i="1"/>
  <c r="Q2332" i="1"/>
  <c r="Z2332" i="1"/>
  <c r="M2333" i="1"/>
  <c r="O2333" i="1" s="1"/>
  <c r="P2333" i="1"/>
  <c r="Q2333" i="1"/>
  <c r="Z2333" i="1"/>
  <c r="M2334" i="1"/>
  <c r="O2334" i="1" s="1"/>
  <c r="P2334" i="1"/>
  <c r="Q2334" i="1"/>
  <c r="Z2334" i="1"/>
  <c r="M2335" i="1"/>
  <c r="O2335" i="1" s="1"/>
  <c r="P2335" i="1"/>
  <c r="Q2335" i="1"/>
  <c r="Z2335" i="1"/>
  <c r="M2336" i="1"/>
  <c r="O2336" i="1"/>
  <c r="P2336" i="1"/>
  <c r="Q2336" i="1"/>
  <c r="Z2336" i="1"/>
  <c r="M2337" i="1"/>
  <c r="O2337" i="1" s="1"/>
  <c r="P2337" i="1"/>
  <c r="Q2337" i="1"/>
  <c r="Z2337" i="1"/>
  <c r="M2338" i="1"/>
  <c r="O2338" i="1" s="1"/>
  <c r="P2338" i="1"/>
  <c r="Q2338" i="1"/>
  <c r="Z2338" i="1"/>
  <c r="M2339" i="1"/>
  <c r="O2339" i="1" s="1"/>
  <c r="P2339" i="1"/>
  <c r="Q2339" i="1"/>
  <c r="Z2339" i="1"/>
  <c r="M2341" i="1"/>
  <c r="O2341" i="1" s="1"/>
  <c r="P2341" i="1"/>
  <c r="Q2341" i="1"/>
  <c r="Z2341" i="1"/>
  <c r="M2342" i="1"/>
  <c r="O2342" i="1" s="1"/>
  <c r="P2342" i="1"/>
  <c r="Q2342" i="1"/>
  <c r="Z2342" i="1"/>
  <c r="M2343" i="1"/>
  <c r="O2343" i="1" s="1"/>
  <c r="P2343" i="1"/>
  <c r="Q2343" i="1"/>
  <c r="Z2343" i="1"/>
  <c r="M2345" i="1"/>
  <c r="O2345" i="1" s="1"/>
  <c r="P2345" i="1"/>
  <c r="Q2345" i="1"/>
  <c r="Z2345" i="1"/>
  <c r="M2349" i="1"/>
  <c r="O2349" i="1" s="1"/>
  <c r="P2349" i="1"/>
  <c r="Q2349" i="1"/>
  <c r="Z2349" i="1"/>
  <c r="M2350" i="1"/>
  <c r="O2350" i="1" s="1"/>
  <c r="P2350" i="1"/>
  <c r="Q2350" i="1"/>
  <c r="Z2350" i="1"/>
  <c r="M2351" i="1"/>
  <c r="O2351" i="1" s="1"/>
  <c r="P2351" i="1"/>
  <c r="Q2351" i="1"/>
  <c r="Z2351" i="1"/>
  <c r="M2352" i="1"/>
  <c r="O2352" i="1" s="1"/>
  <c r="Z2352" i="1"/>
  <c r="M2353" i="1"/>
  <c r="O2353" i="1" s="1"/>
  <c r="P2353" i="1"/>
  <c r="Q2353" i="1"/>
  <c r="Z2353" i="1"/>
  <c r="M2354" i="1"/>
  <c r="O2354" i="1" s="1"/>
  <c r="P2354" i="1"/>
  <c r="Q2354" i="1"/>
  <c r="Z2354" i="1"/>
  <c r="M2355" i="1"/>
  <c r="O2355" i="1" s="1"/>
  <c r="P2355" i="1"/>
  <c r="Q2355" i="1"/>
  <c r="Z2355" i="1"/>
  <c r="M2356" i="1"/>
  <c r="O2356" i="1" s="1"/>
  <c r="P2356" i="1"/>
  <c r="Q2356" i="1"/>
  <c r="Z2356" i="1"/>
  <c r="M2357" i="1"/>
  <c r="O2357" i="1" s="1"/>
  <c r="P2357" i="1"/>
  <c r="Q2357" i="1"/>
  <c r="Z2357" i="1"/>
  <c r="M2358" i="1"/>
  <c r="O2358" i="1" s="1"/>
  <c r="P2358" i="1"/>
  <c r="Q2358" i="1"/>
  <c r="Z2358" i="1"/>
  <c r="M2359" i="1"/>
  <c r="O2359" i="1" s="1"/>
  <c r="P2359" i="1"/>
  <c r="Q2359" i="1"/>
  <c r="Z2359" i="1"/>
  <c r="M2360" i="1"/>
  <c r="O2360" i="1" s="1"/>
  <c r="P2360" i="1"/>
  <c r="Q2360" i="1"/>
  <c r="Z2360" i="1"/>
  <c r="M2362" i="1"/>
  <c r="O2362" i="1" s="1"/>
  <c r="P2362" i="1"/>
  <c r="Q2362" i="1"/>
  <c r="Z2362" i="1"/>
  <c r="M2363" i="1"/>
  <c r="O2363" i="1" s="1"/>
  <c r="P2363" i="1"/>
  <c r="Q2363" i="1"/>
  <c r="Z2363" i="1"/>
  <c r="M2364" i="1"/>
  <c r="O2364" i="1" s="1"/>
  <c r="P2364" i="1"/>
  <c r="Q2364" i="1"/>
  <c r="Z2364" i="1"/>
  <c r="M2365" i="1"/>
  <c r="O2365" i="1" s="1"/>
  <c r="P2365" i="1"/>
  <c r="Q2365" i="1"/>
  <c r="Z2365" i="1"/>
  <c r="M2367" i="1"/>
  <c r="O2367" i="1" s="1"/>
  <c r="P2367" i="1"/>
  <c r="Q2367" i="1"/>
  <c r="Z2367" i="1"/>
  <c r="M2368" i="1"/>
  <c r="O2368" i="1" s="1"/>
  <c r="P2368" i="1"/>
  <c r="Q2368" i="1"/>
  <c r="Z2368" i="1"/>
  <c r="M2369" i="1"/>
  <c r="O2369" i="1" s="1"/>
  <c r="P2369" i="1"/>
  <c r="Q2369" i="1"/>
  <c r="Z2369" i="1"/>
  <c r="M2370" i="1"/>
  <c r="O2370" i="1" s="1"/>
  <c r="P2370" i="1"/>
  <c r="Q2370" i="1"/>
  <c r="Z2370" i="1"/>
  <c r="M2372" i="1"/>
  <c r="O2372" i="1" s="1"/>
  <c r="Z2372" i="1"/>
  <c r="M2373" i="1"/>
  <c r="O2373" i="1" s="1"/>
  <c r="Z2373" i="1"/>
  <c r="M2374" i="1"/>
  <c r="O2374" i="1" s="1"/>
  <c r="Z2374" i="1"/>
  <c r="M2375" i="1"/>
  <c r="O2375" i="1" s="1"/>
  <c r="Z2375" i="1"/>
  <c r="M2378" i="1"/>
  <c r="O2378" i="1" s="1"/>
  <c r="P2378" i="1"/>
  <c r="Q2378" i="1"/>
  <c r="Z2378" i="1"/>
  <c r="M2379" i="1"/>
  <c r="O2379" i="1" s="1"/>
  <c r="P2379" i="1"/>
  <c r="Q2379" i="1"/>
  <c r="Z2379" i="1"/>
  <c r="M2380" i="1"/>
  <c r="O2380" i="1" s="1"/>
  <c r="P2380" i="1"/>
  <c r="Q2380" i="1"/>
  <c r="Z2380" i="1"/>
  <c r="M2381" i="1"/>
  <c r="O2381" i="1" s="1"/>
  <c r="P2381" i="1"/>
  <c r="Q2381" i="1"/>
  <c r="Z2381" i="1"/>
  <c r="O2383" i="1"/>
  <c r="P2383" i="1"/>
  <c r="Q2383" i="1"/>
  <c r="Z2383" i="1"/>
  <c r="M2385" i="1"/>
  <c r="O2385" i="1" s="1"/>
  <c r="P2385" i="1"/>
  <c r="Q2385" i="1"/>
  <c r="Z2385" i="1"/>
  <c r="M2386" i="1"/>
  <c r="O2386" i="1" s="1"/>
  <c r="P2386" i="1"/>
  <c r="Q2386" i="1"/>
  <c r="Z2386" i="1"/>
  <c r="M2387" i="1"/>
  <c r="O2387" i="1" s="1"/>
  <c r="P2387" i="1"/>
  <c r="Q2387" i="1"/>
  <c r="Z2387" i="1"/>
  <c r="M2388" i="1"/>
  <c r="O2388" i="1" s="1"/>
  <c r="P2388" i="1"/>
  <c r="Q2388" i="1"/>
  <c r="Z2388" i="1"/>
  <c r="M2389" i="1"/>
  <c r="O2389" i="1" s="1"/>
  <c r="P2389" i="1"/>
  <c r="Q2389" i="1"/>
  <c r="Z2389" i="1"/>
  <c r="M2390" i="1"/>
  <c r="O2390" i="1" s="1"/>
  <c r="P2390" i="1"/>
  <c r="Q2390" i="1"/>
  <c r="Z2390" i="1"/>
  <c r="M2391" i="1"/>
  <c r="O2391" i="1" s="1"/>
  <c r="P2391" i="1"/>
  <c r="Q2391" i="1"/>
  <c r="Z2391" i="1"/>
  <c r="M2394" i="1"/>
  <c r="O2394" i="1"/>
  <c r="P2394" i="1"/>
  <c r="Q2394" i="1"/>
  <c r="Z2394" i="1"/>
  <c r="M2395" i="1"/>
  <c r="O2395" i="1" s="1"/>
  <c r="P2395" i="1"/>
  <c r="Q2395" i="1"/>
  <c r="Z2395" i="1"/>
  <c r="M2396" i="1"/>
  <c r="O2396" i="1" s="1"/>
  <c r="P2396" i="1"/>
  <c r="Q2396" i="1"/>
  <c r="Z2396" i="1"/>
  <c r="M2398" i="1"/>
  <c r="O2398" i="1" s="1"/>
  <c r="P2398" i="1"/>
  <c r="Q2398" i="1"/>
  <c r="Z2398" i="1"/>
  <c r="M2399" i="1"/>
  <c r="O2399" i="1" s="1"/>
  <c r="P2399" i="1"/>
  <c r="Q2399" i="1"/>
  <c r="Z2399" i="1"/>
  <c r="M2400" i="1"/>
  <c r="O2400" i="1" s="1"/>
  <c r="P2400" i="1"/>
  <c r="Q2400" i="1"/>
  <c r="Z2400" i="1"/>
  <c r="M2401" i="1"/>
  <c r="O2401" i="1" s="1"/>
  <c r="P2401" i="1"/>
  <c r="Q2401" i="1"/>
  <c r="Z2401" i="1"/>
  <c r="M2402" i="1"/>
  <c r="O2402" i="1" s="1"/>
  <c r="P2402" i="1"/>
  <c r="Q2402" i="1"/>
  <c r="Z2402" i="1"/>
  <c r="M2403" i="1"/>
  <c r="O2403" i="1" s="1"/>
  <c r="P2403" i="1"/>
  <c r="Q2403" i="1"/>
  <c r="Z2403" i="1"/>
  <c r="M2404" i="1"/>
  <c r="O2404" i="1" s="1"/>
  <c r="P2404" i="1"/>
  <c r="Q2404" i="1"/>
  <c r="Z2404" i="1"/>
  <c r="M2407" i="1"/>
  <c r="O2407" i="1" s="1"/>
  <c r="P2407" i="1"/>
  <c r="Q2407" i="1"/>
  <c r="Z2407" i="1"/>
  <c r="M2408" i="1"/>
  <c r="O2408" i="1" s="1"/>
  <c r="P2408" i="1"/>
  <c r="Q2408" i="1"/>
  <c r="Z2408" i="1"/>
  <c r="M2409" i="1"/>
  <c r="O2409" i="1" s="1"/>
  <c r="P2409" i="1"/>
  <c r="Q2409" i="1"/>
  <c r="Z2409" i="1"/>
  <c r="M2410" i="1"/>
  <c r="O2410" i="1" s="1"/>
  <c r="P2410" i="1"/>
  <c r="Q2410" i="1"/>
  <c r="Z2410" i="1"/>
  <c r="M2411" i="1"/>
  <c r="O2411" i="1" s="1"/>
  <c r="P2411" i="1"/>
  <c r="Q2411" i="1"/>
  <c r="Z2411" i="1"/>
  <c r="M2413" i="1"/>
  <c r="O2413" i="1" s="1"/>
  <c r="P2413" i="1"/>
  <c r="Q2413" i="1"/>
  <c r="Z2413" i="1"/>
  <c r="M2414" i="1"/>
  <c r="O2414" i="1" s="1"/>
  <c r="P2414" i="1"/>
  <c r="Q2414" i="1"/>
  <c r="Z2414" i="1"/>
  <c r="M2415" i="1"/>
  <c r="O2415" i="1" s="1"/>
  <c r="P2415" i="1"/>
  <c r="Q2415" i="1"/>
  <c r="Z2415" i="1"/>
  <c r="M2416" i="1"/>
  <c r="O2416" i="1" s="1"/>
  <c r="P2416" i="1"/>
  <c r="Q2416" i="1"/>
  <c r="Z2416" i="1"/>
  <c r="M2417" i="1"/>
  <c r="O2417" i="1" s="1"/>
  <c r="P2417" i="1"/>
  <c r="Q2417" i="1"/>
  <c r="Z2417" i="1"/>
  <c r="M2418" i="1"/>
  <c r="O2418" i="1" s="1"/>
  <c r="P2418" i="1"/>
  <c r="Q2418" i="1"/>
  <c r="Z2418" i="1"/>
  <c r="M2419" i="1"/>
  <c r="O2419" i="1"/>
  <c r="P2419" i="1"/>
  <c r="Q2419" i="1"/>
  <c r="Z2419" i="1"/>
  <c r="M2420" i="1"/>
  <c r="O2420" i="1" s="1"/>
  <c r="P2420" i="1"/>
  <c r="Q2420" i="1"/>
  <c r="Z2420" i="1"/>
  <c r="M2421" i="1"/>
  <c r="O2421" i="1" s="1"/>
  <c r="P2421" i="1"/>
  <c r="Q2421" i="1"/>
  <c r="Z2421" i="1"/>
  <c r="M2422" i="1"/>
  <c r="O2422" i="1" s="1"/>
  <c r="P2422" i="1"/>
  <c r="Q2422" i="1"/>
  <c r="Z2422" i="1"/>
  <c r="M2423" i="1"/>
  <c r="O2423" i="1" s="1"/>
  <c r="P2423" i="1"/>
  <c r="Q2423" i="1"/>
  <c r="Z2423" i="1"/>
  <c r="M2424" i="1"/>
  <c r="O2424" i="1" s="1"/>
  <c r="P2424" i="1"/>
  <c r="Q2424" i="1"/>
  <c r="Z2424" i="1"/>
  <c r="M2425" i="1"/>
  <c r="O2425" i="1" s="1"/>
  <c r="P2425" i="1"/>
  <c r="Q2425" i="1"/>
  <c r="Z2425" i="1"/>
  <c r="M2426" i="1"/>
  <c r="O2426" i="1" s="1"/>
  <c r="P2426" i="1"/>
  <c r="Q2426" i="1"/>
  <c r="Z2426" i="1"/>
  <c r="M2429" i="1"/>
  <c r="O2429" i="1" s="1"/>
  <c r="P2429" i="1"/>
  <c r="Q2429" i="1"/>
  <c r="Z2429" i="1"/>
  <c r="M2430" i="1"/>
  <c r="O2430" i="1" s="1"/>
  <c r="P2430" i="1"/>
  <c r="Q2430" i="1"/>
  <c r="Z2430" i="1"/>
  <c r="M2431" i="1"/>
  <c r="O2431" i="1" s="1"/>
  <c r="P2431" i="1"/>
  <c r="Q2431" i="1"/>
  <c r="Z2431" i="1"/>
  <c r="M2432" i="1"/>
  <c r="O2432" i="1" s="1"/>
  <c r="P2432" i="1"/>
  <c r="Q2432" i="1"/>
  <c r="Z2432" i="1"/>
  <c r="M2433" i="1"/>
  <c r="O2433" i="1" s="1"/>
  <c r="P2433" i="1"/>
  <c r="Q2433" i="1"/>
  <c r="Z2433" i="1"/>
  <c r="M2434" i="1"/>
  <c r="O2434" i="1" s="1"/>
  <c r="P2434" i="1"/>
  <c r="Q2434" i="1"/>
  <c r="Z2434" i="1"/>
  <c r="M2436" i="1"/>
  <c r="O2436" i="1" s="1"/>
  <c r="P2436" i="1"/>
  <c r="Q2436" i="1"/>
  <c r="Z2436" i="1"/>
  <c r="M2437" i="1"/>
  <c r="O2437" i="1" s="1"/>
  <c r="P2437" i="1"/>
  <c r="Q2437" i="1"/>
  <c r="Z2437" i="1"/>
  <c r="M2438" i="1"/>
  <c r="O2438" i="1" s="1"/>
  <c r="P2438" i="1"/>
  <c r="Q2438" i="1"/>
  <c r="Z2438" i="1"/>
  <c r="M2439" i="1"/>
  <c r="O2439" i="1" s="1"/>
  <c r="P2439" i="1"/>
  <c r="Q2439" i="1"/>
  <c r="Z2439" i="1"/>
  <c r="M2440" i="1"/>
  <c r="O2440" i="1" s="1"/>
  <c r="P2440" i="1"/>
  <c r="Q2440" i="1"/>
  <c r="Z2440" i="1"/>
  <c r="M2441" i="1"/>
  <c r="O2441" i="1" s="1"/>
  <c r="P2441" i="1"/>
  <c r="Q2441" i="1"/>
  <c r="Z2441" i="1"/>
  <c r="M2442" i="1"/>
  <c r="O2442" i="1" s="1"/>
  <c r="Z2442" i="1"/>
  <c r="M2444" i="1"/>
  <c r="O2444" i="1" s="1"/>
  <c r="P2444" i="1"/>
  <c r="Q2444" i="1"/>
  <c r="Z2444" i="1"/>
  <c r="M2445" i="1"/>
  <c r="O2445" i="1" s="1"/>
  <c r="P2445" i="1"/>
  <c r="Q2445" i="1"/>
  <c r="Z2445" i="1"/>
  <c r="M2446" i="1"/>
  <c r="O2446" i="1" s="1"/>
  <c r="P2446" i="1"/>
  <c r="Q2446" i="1"/>
  <c r="Z2446" i="1"/>
  <c r="M2447" i="1"/>
  <c r="O2447" i="1" s="1"/>
  <c r="P2447" i="1"/>
  <c r="Q2447" i="1"/>
  <c r="Z2447" i="1"/>
  <c r="M2448" i="1"/>
  <c r="O2448" i="1" s="1"/>
  <c r="P2448" i="1"/>
  <c r="Q2448" i="1"/>
  <c r="Z2448" i="1"/>
  <c r="M2451" i="1"/>
  <c r="O2451" i="1" s="1"/>
  <c r="P2451" i="1"/>
  <c r="Q2451" i="1"/>
  <c r="Z2451" i="1"/>
  <c r="M2452" i="1"/>
  <c r="O2452" i="1" s="1"/>
  <c r="P2452" i="1"/>
  <c r="Q2452" i="1"/>
  <c r="Z2452" i="1"/>
  <c r="M2453" i="1"/>
  <c r="O2453" i="1" s="1"/>
  <c r="P2453" i="1"/>
  <c r="Q2453" i="1"/>
  <c r="Z2453" i="1"/>
  <c r="M2454" i="1"/>
  <c r="O2454" i="1" s="1"/>
  <c r="P2454" i="1"/>
  <c r="Q2454" i="1"/>
  <c r="Z2454" i="1"/>
  <c r="M2455" i="1"/>
  <c r="O2455" i="1" s="1"/>
  <c r="P2455" i="1"/>
  <c r="Q2455" i="1"/>
  <c r="Z2455" i="1"/>
  <c r="M2456" i="1"/>
  <c r="O2456" i="1"/>
  <c r="P2456" i="1"/>
  <c r="Q2456" i="1"/>
  <c r="Z2456" i="1"/>
  <c r="M2457" i="1"/>
  <c r="O2457" i="1" s="1"/>
  <c r="P2457" i="1"/>
  <c r="Q2457" i="1"/>
  <c r="Z2457" i="1"/>
  <c r="M2458" i="1"/>
  <c r="O2458" i="1" s="1"/>
  <c r="P2458" i="1"/>
  <c r="Q2458" i="1"/>
  <c r="Z2458" i="1"/>
  <c r="M2459" i="1"/>
  <c r="O2459" i="1" s="1"/>
  <c r="P2459" i="1"/>
  <c r="Q2459" i="1"/>
  <c r="Z2459" i="1"/>
  <c r="M2460" i="1"/>
  <c r="O2460" i="1" s="1"/>
  <c r="P2460" i="1"/>
  <c r="Q2460" i="1"/>
  <c r="Z2460" i="1"/>
  <c r="M2461" i="1"/>
  <c r="O2461" i="1" s="1"/>
  <c r="P2461" i="1"/>
  <c r="Q2461" i="1"/>
  <c r="Z2461" i="1"/>
  <c r="M2462" i="1"/>
  <c r="O2462" i="1" s="1"/>
  <c r="P2462" i="1"/>
  <c r="Q2462" i="1"/>
  <c r="Z2462" i="1"/>
  <c r="M2463" i="1"/>
  <c r="O2463" i="1" s="1"/>
  <c r="P2463" i="1"/>
  <c r="Q2463" i="1"/>
  <c r="Z2463" i="1"/>
  <c r="M2464" i="1"/>
  <c r="O2464" i="1" s="1"/>
  <c r="P2464" i="1"/>
  <c r="Q2464" i="1"/>
  <c r="Z2464" i="1"/>
  <c r="M2465" i="1"/>
  <c r="O2465" i="1" s="1"/>
  <c r="P2465" i="1"/>
  <c r="Q2465" i="1"/>
  <c r="Z2465" i="1"/>
  <c r="M2466" i="1"/>
  <c r="O2466" i="1" s="1"/>
  <c r="P2466" i="1"/>
  <c r="Q2466" i="1"/>
  <c r="Z2466" i="1"/>
  <c r="M2467" i="1"/>
  <c r="O2467" i="1" s="1"/>
  <c r="P2467" i="1"/>
  <c r="Q2467" i="1"/>
  <c r="Z2467" i="1"/>
  <c r="M2468" i="1"/>
  <c r="O2468" i="1" s="1"/>
  <c r="P2468" i="1"/>
  <c r="Q2468" i="1"/>
  <c r="Z2468" i="1"/>
  <c r="M2469" i="1"/>
  <c r="O2469" i="1" s="1"/>
  <c r="P2469" i="1"/>
  <c r="Q2469" i="1"/>
  <c r="Z2469" i="1"/>
  <c r="M2470" i="1"/>
  <c r="O2470" i="1" s="1"/>
  <c r="P2470" i="1"/>
  <c r="Q2470" i="1"/>
  <c r="Z2470" i="1"/>
  <c r="M2471" i="1"/>
  <c r="O2471" i="1" s="1"/>
  <c r="P2471" i="1"/>
  <c r="Q2471" i="1"/>
  <c r="Z2471" i="1"/>
  <c r="M2472" i="1"/>
  <c r="O2472" i="1" s="1"/>
  <c r="P2472" i="1"/>
  <c r="Q2472" i="1"/>
  <c r="Z2472" i="1"/>
  <c r="M2473" i="1"/>
  <c r="O2473" i="1" s="1"/>
  <c r="P2473" i="1"/>
  <c r="Q2473" i="1"/>
  <c r="Z2473" i="1"/>
  <c r="M2474" i="1"/>
  <c r="O2474" i="1" s="1"/>
  <c r="P2474" i="1"/>
  <c r="Q2474" i="1"/>
  <c r="Z2474" i="1"/>
  <c r="M2475" i="1"/>
  <c r="O2475" i="1" s="1"/>
  <c r="P2475" i="1"/>
  <c r="Q2475" i="1"/>
  <c r="Z2475" i="1"/>
  <c r="M2476" i="1"/>
  <c r="O2476" i="1" s="1"/>
  <c r="P2476" i="1"/>
  <c r="Q2476" i="1"/>
  <c r="Z2476" i="1"/>
  <c r="M2477" i="1"/>
  <c r="O2477" i="1" s="1"/>
  <c r="P2477" i="1"/>
  <c r="Q2477" i="1"/>
  <c r="Z2477" i="1"/>
  <c r="M2478" i="1"/>
  <c r="O2478" i="1" s="1"/>
  <c r="P2478" i="1"/>
  <c r="Q2478" i="1"/>
  <c r="Z2478" i="1"/>
  <c r="M2479" i="1"/>
  <c r="O2479" i="1" s="1"/>
  <c r="P2479" i="1"/>
  <c r="Q2479" i="1"/>
  <c r="Z2479" i="1"/>
  <c r="M2480" i="1"/>
  <c r="O2480" i="1" s="1"/>
  <c r="P2480" i="1"/>
  <c r="Q2480" i="1"/>
  <c r="Z2480" i="1"/>
  <c r="M2481" i="1"/>
  <c r="O2481" i="1"/>
  <c r="P2481" i="1"/>
  <c r="Q2481" i="1"/>
  <c r="Z2481" i="1"/>
  <c r="M2482" i="1"/>
  <c r="O2482" i="1" s="1"/>
  <c r="P2482" i="1"/>
  <c r="Q2482" i="1"/>
  <c r="Z2482" i="1"/>
  <c r="M2483" i="1"/>
  <c r="O2483" i="1" s="1"/>
  <c r="P2483" i="1"/>
  <c r="Q2483" i="1"/>
  <c r="Z2483" i="1"/>
  <c r="M2484" i="1"/>
  <c r="O2484" i="1" s="1"/>
  <c r="P2484" i="1"/>
  <c r="Q2484" i="1"/>
  <c r="Z2484" i="1"/>
  <c r="M2485" i="1"/>
  <c r="O2485" i="1" s="1"/>
  <c r="P2485" i="1"/>
  <c r="Q2485" i="1"/>
  <c r="Z2485" i="1"/>
  <c r="M2486" i="1"/>
  <c r="O2486" i="1" s="1"/>
  <c r="P2486" i="1"/>
  <c r="Q2486" i="1"/>
  <c r="Z2486" i="1"/>
  <c r="M2487" i="1"/>
  <c r="O2487" i="1" s="1"/>
  <c r="P2487" i="1"/>
  <c r="Q2487" i="1"/>
  <c r="Z2487" i="1"/>
  <c r="M2488" i="1"/>
  <c r="O2488" i="1" s="1"/>
  <c r="P2488" i="1"/>
  <c r="Q2488" i="1"/>
  <c r="Z2488" i="1"/>
  <c r="M2489" i="1"/>
  <c r="O2489" i="1" s="1"/>
  <c r="P2489" i="1"/>
  <c r="Q2489" i="1"/>
  <c r="Z2489" i="1"/>
  <c r="M2490" i="1"/>
  <c r="O2490" i="1" s="1"/>
  <c r="P2490" i="1"/>
  <c r="Q2490" i="1"/>
  <c r="Z2490" i="1"/>
  <c r="M2491" i="1"/>
  <c r="O2491" i="1" s="1"/>
  <c r="P2491" i="1"/>
  <c r="Q2491" i="1"/>
  <c r="Z2491" i="1"/>
  <c r="M2492" i="1"/>
  <c r="O2492" i="1" s="1"/>
  <c r="P2492" i="1"/>
  <c r="Q2492" i="1"/>
  <c r="Z2492" i="1"/>
  <c r="M2493" i="1"/>
  <c r="O2493" i="1" s="1"/>
  <c r="P2493" i="1"/>
  <c r="Q2493" i="1"/>
  <c r="Z2493" i="1"/>
  <c r="M2494" i="1"/>
  <c r="O2494" i="1" s="1"/>
  <c r="P2494" i="1"/>
  <c r="Q2494" i="1"/>
  <c r="Z2494" i="1"/>
  <c r="M2495" i="1"/>
  <c r="O2495" i="1" s="1"/>
  <c r="P2495" i="1"/>
  <c r="Q2495" i="1"/>
  <c r="Z2495" i="1"/>
  <c r="M2496" i="1"/>
  <c r="O2496" i="1" s="1"/>
  <c r="P2496" i="1"/>
  <c r="Q2496" i="1"/>
  <c r="Z2496" i="1"/>
  <c r="M2497" i="1"/>
  <c r="O2497" i="1" s="1"/>
  <c r="P2497" i="1"/>
  <c r="Q2497" i="1"/>
  <c r="Z2497" i="1"/>
  <c r="M2498" i="1"/>
  <c r="O2498" i="1" s="1"/>
  <c r="P2498" i="1"/>
  <c r="Q2498" i="1"/>
  <c r="Z2498" i="1"/>
  <c r="M2499" i="1"/>
  <c r="O2499" i="1"/>
  <c r="P2499" i="1"/>
  <c r="Q2499" i="1"/>
  <c r="Z2499" i="1"/>
  <c r="M2500" i="1"/>
  <c r="O2500" i="1" s="1"/>
  <c r="P2500" i="1"/>
  <c r="Q2500" i="1"/>
  <c r="Z2500" i="1"/>
  <c r="M2501" i="1"/>
  <c r="O2501" i="1" s="1"/>
  <c r="P2501" i="1"/>
  <c r="Q2501" i="1"/>
  <c r="Z2501" i="1"/>
  <c r="M2502" i="1"/>
  <c r="O2502" i="1" s="1"/>
  <c r="P2502" i="1"/>
  <c r="Q2502" i="1"/>
  <c r="Z2502" i="1"/>
  <c r="M2503" i="1"/>
  <c r="O2503" i="1" s="1"/>
  <c r="P2503" i="1"/>
  <c r="Q2503" i="1"/>
  <c r="Z2503" i="1"/>
  <c r="M2505" i="1"/>
  <c r="O2505" i="1" s="1"/>
  <c r="P2505" i="1"/>
  <c r="Q2505" i="1"/>
  <c r="Z2505" i="1"/>
  <c r="M2506" i="1"/>
  <c r="O2506" i="1" s="1"/>
  <c r="P2506" i="1"/>
  <c r="Q2506" i="1"/>
  <c r="Z2506" i="1"/>
  <c r="M2507" i="1"/>
  <c r="O2507" i="1" s="1"/>
  <c r="P2507" i="1"/>
  <c r="Q2507" i="1"/>
  <c r="Z2507" i="1"/>
  <c r="M2508" i="1"/>
  <c r="O2508" i="1" s="1"/>
  <c r="P2508" i="1"/>
  <c r="Q2508" i="1"/>
  <c r="Z2508" i="1"/>
  <c r="M2509" i="1"/>
  <c r="O2509" i="1" s="1"/>
  <c r="P2509" i="1"/>
  <c r="Q2509" i="1"/>
  <c r="Z2509" i="1"/>
  <c r="M2510" i="1"/>
  <c r="O2510" i="1" s="1"/>
  <c r="P2510" i="1"/>
  <c r="Q2510" i="1"/>
  <c r="Z2510" i="1"/>
  <c r="M2511" i="1"/>
  <c r="O2511" i="1" s="1"/>
  <c r="P2511" i="1"/>
  <c r="Q2511" i="1"/>
  <c r="Z2511" i="1"/>
  <c r="M2512" i="1"/>
  <c r="O2512" i="1"/>
  <c r="P2512" i="1"/>
  <c r="Q2512" i="1"/>
  <c r="Z2512" i="1"/>
  <c r="M2513" i="1"/>
  <c r="O2513" i="1" s="1"/>
  <c r="P2513" i="1"/>
  <c r="Q2513" i="1"/>
  <c r="Z2513" i="1"/>
  <c r="M2514" i="1"/>
  <c r="O2514" i="1" s="1"/>
  <c r="P2514" i="1"/>
  <c r="Q2514" i="1"/>
  <c r="Z2514" i="1"/>
  <c r="M2515" i="1"/>
  <c r="O2515" i="1" s="1"/>
  <c r="P2515" i="1"/>
  <c r="Q2515" i="1"/>
  <c r="Z2515" i="1"/>
  <c r="M2516" i="1"/>
  <c r="O2516" i="1" s="1"/>
  <c r="P2516" i="1"/>
  <c r="Q2516" i="1"/>
  <c r="Z2516" i="1"/>
  <c r="M2517" i="1"/>
  <c r="O2517" i="1" s="1"/>
  <c r="P2517" i="1"/>
  <c r="Q2517" i="1"/>
  <c r="Z2517" i="1"/>
  <c r="M2518" i="1"/>
  <c r="O2518" i="1" s="1"/>
  <c r="P2518" i="1"/>
  <c r="Q2518" i="1"/>
  <c r="Z2518" i="1"/>
  <c r="M2519" i="1"/>
  <c r="O2519" i="1" s="1"/>
  <c r="P2519" i="1"/>
  <c r="Q2519" i="1"/>
  <c r="Z2519" i="1"/>
  <c r="M2520" i="1"/>
  <c r="O2520" i="1" s="1"/>
  <c r="P2520" i="1"/>
  <c r="Q2520" i="1"/>
  <c r="Z2520" i="1"/>
  <c r="M2521" i="1"/>
  <c r="O2521" i="1" s="1"/>
  <c r="P2521" i="1"/>
  <c r="Q2521" i="1"/>
  <c r="Z2521" i="1"/>
  <c r="M2522" i="1"/>
  <c r="O2522" i="1" s="1"/>
  <c r="P2522" i="1"/>
  <c r="Q2522" i="1"/>
  <c r="Z2522" i="1"/>
  <c r="M2523" i="1"/>
  <c r="O2523" i="1" s="1"/>
  <c r="P2523" i="1"/>
  <c r="Q2523" i="1"/>
  <c r="Z2523" i="1"/>
  <c r="M2524" i="1"/>
  <c r="O2524" i="1" s="1"/>
  <c r="P2524" i="1"/>
  <c r="Q2524" i="1"/>
  <c r="Z2524" i="1"/>
  <c r="M2525" i="1"/>
  <c r="O2525" i="1" s="1"/>
  <c r="P2525" i="1"/>
  <c r="Q2525" i="1"/>
  <c r="Z2525" i="1"/>
  <c r="M2526" i="1"/>
  <c r="O2526" i="1" s="1"/>
  <c r="P2526" i="1"/>
  <c r="Q2526" i="1"/>
  <c r="Z2526" i="1"/>
  <c r="M2527" i="1"/>
  <c r="O2527" i="1" s="1"/>
  <c r="P2527" i="1"/>
  <c r="Q2527" i="1"/>
  <c r="Z2527" i="1"/>
  <c r="M2528" i="1"/>
  <c r="O2528" i="1" s="1"/>
  <c r="P2528" i="1"/>
  <c r="Q2528" i="1"/>
  <c r="Z2528" i="1"/>
  <c r="M2529" i="1"/>
  <c r="O2529" i="1" s="1"/>
  <c r="P2529" i="1"/>
  <c r="Q2529" i="1"/>
  <c r="Z2529" i="1"/>
  <c r="M2530" i="1"/>
  <c r="O2530" i="1" s="1"/>
  <c r="P2530" i="1"/>
  <c r="Q2530" i="1"/>
  <c r="Z2530" i="1"/>
  <c r="M2531" i="1"/>
  <c r="O2531" i="1" s="1"/>
  <c r="P2531" i="1"/>
  <c r="Q2531" i="1"/>
  <c r="Z2531" i="1"/>
  <c r="M2532" i="1"/>
  <c r="O2532" i="1" s="1"/>
  <c r="P2532" i="1"/>
  <c r="Q2532" i="1"/>
  <c r="Z2532" i="1"/>
  <c r="M2533" i="1"/>
  <c r="O2533" i="1" s="1"/>
  <c r="P2533" i="1"/>
  <c r="Q2533" i="1"/>
  <c r="Z2533" i="1"/>
  <c r="M2534" i="1"/>
  <c r="O2534" i="1" s="1"/>
  <c r="P2534" i="1"/>
  <c r="Q2534" i="1"/>
  <c r="Z2534" i="1"/>
  <c r="M2535" i="1"/>
  <c r="O2535" i="1" s="1"/>
  <c r="P2535" i="1"/>
  <c r="Q2535" i="1"/>
  <c r="Z2535" i="1"/>
  <c r="M2536" i="1"/>
  <c r="O2536" i="1"/>
  <c r="P2536" i="1"/>
  <c r="Q2536" i="1"/>
  <c r="Z2536" i="1"/>
  <c r="M2537" i="1"/>
  <c r="O2537" i="1" s="1"/>
  <c r="P2537" i="1"/>
  <c r="Q2537" i="1"/>
  <c r="Z2537" i="1"/>
  <c r="M2538" i="1"/>
  <c r="O2538" i="1" s="1"/>
  <c r="P2538" i="1"/>
  <c r="Q2538" i="1"/>
  <c r="Z2538" i="1"/>
  <c r="M2539" i="1"/>
  <c r="O2539" i="1" s="1"/>
  <c r="P2539" i="1"/>
  <c r="Q2539" i="1"/>
  <c r="Z2539" i="1"/>
  <c r="M2540" i="1"/>
  <c r="O2540" i="1" s="1"/>
  <c r="P2540" i="1"/>
  <c r="Q2540" i="1"/>
  <c r="Z2540" i="1"/>
  <c r="M2541" i="1"/>
  <c r="O2541" i="1" s="1"/>
  <c r="P2541" i="1"/>
  <c r="Q2541" i="1"/>
  <c r="Z2541" i="1"/>
  <c r="M2542" i="1"/>
  <c r="O2542" i="1" s="1"/>
  <c r="P2542" i="1"/>
  <c r="Q2542" i="1"/>
  <c r="Z2542" i="1"/>
  <c r="M2543" i="1"/>
  <c r="O2543" i="1" s="1"/>
  <c r="P2543" i="1"/>
  <c r="Q2543" i="1"/>
  <c r="Z2543" i="1"/>
  <c r="M2544" i="1"/>
  <c r="O2544" i="1" s="1"/>
  <c r="P2544" i="1"/>
  <c r="Q2544" i="1"/>
  <c r="Z2544" i="1"/>
  <c r="M2545" i="1"/>
  <c r="O2545" i="1" s="1"/>
  <c r="P2545" i="1"/>
  <c r="Q2545" i="1"/>
  <c r="Z2545" i="1"/>
  <c r="M2547" i="1"/>
  <c r="O2547" i="1" s="1"/>
  <c r="P2547" i="1"/>
  <c r="Q2547" i="1"/>
  <c r="Z2547" i="1"/>
  <c r="M2548" i="1"/>
  <c r="O2548" i="1" s="1"/>
  <c r="P2548" i="1"/>
  <c r="Q2548" i="1"/>
  <c r="Z2548" i="1"/>
  <c r="M2549" i="1"/>
  <c r="O2549" i="1" s="1"/>
  <c r="P2549" i="1"/>
  <c r="Q2549" i="1"/>
  <c r="Z2549" i="1"/>
  <c r="M2550" i="1"/>
  <c r="O2550" i="1" s="1"/>
  <c r="P2550" i="1"/>
  <c r="Q2550" i="1"/>
  <c r="Z2550" i="1"/>
  <c r="M2553" i="1"/>
  <c r="O2553" i="1"/>
  <c r="P2553" i="1"/>
  <c r="Q2553" i="1"/>
  <c r="Z2553" i="1"/>
  <c r="M2554" i="1"/>
  <c r="O2554" i="1" s="1"/>
  <c r="P2554" i="1"/>
  <c r="Q2554" i="1"/>
  <c r="Z2554" i="1"/>
  <c r="M2555" i="1"/>
  <c r="O2555" i="1" s="1"/>
  <c r="P2555" i="1"/>
  <c r="Q2555" i="1"/>
  <c r="Z2555" i="1"/>
  <c r="M2556" i="1"/>
  <c r="O2556" i="1" s="1"/>
  <c r="P2556" i="1"/>
  <c r="Q2556" i="1"/>
  <c r="Z2556" i="1"/>
  <c r="M2558" i="1"/>
  <c r="O2558" i="1" s="1"/>
  <c r="P2558" i="1"/>
  <c r="Q2558" i="1"/>
  <c r="Z2558" i="1"/>
  <c r="M2559" i="1"/>
  <c r="O2559" i="1" s="1"/>
  <c r="P2559" i="1"/>
  <c r="Q2559" i="1"/>
  <c r="Z2559" i="1"/>
  <c r="M2560" i="1"/>
  <c r="O2560" i="1" s="1"/>
  <c r="P2560" i="1"/>
  <c r="Q2560" i="1"/>
  <c r="Z2560" i="1"/>
  <c r="M2561" i="1"/>
  <c r="O2561" i="1" s="1"/>
  <c r="P2561" i="1"/>
  <c r="Q2561" i="1"/>
  <c r="Z2561" i="1"/>
  <c r="M2562" i="1"/>
  <c r="O2562" i="1" s="1"/>
  <c r="P2562" i="1"/>
  <c r="Q2562" i="1"/>
  <c r="Z2562" i="1"/>
  <c r="M2563" i="1"/>
  <c r="O2563" i="1" s="1"/>
  <c r="P2563" i="1"/>
  <c r="Q2563" i="1"/>
  <c r="Z2563" i="1"/>
  <c r="M2564" i="1"/>
  <c r="O2564" i="1" s="1"/>
  <c r="P2564" i="1"/>
  <c r="Q2564" i="1"/>
  <c r="Z2564" i="1"/>
  <c r="M2565" i="1"/>
  <c r="O2565" i="1" s="1"/>
  <c r="P2565" i="1"/>
  <c r="Q2565" i="1"/>
  <c r="Z2565" i="1"/>
  <c r="M2566" i="1"/>
  <c r="O2566" i="1" s="1"/>
  <c r="P2566" i="1"/>
  <c r="Q2566" i="1"/>
  <c r="Z2566" i="1"/>
  <c r="M2567" i="1"/>
  <c r="O2567" i="1" s="1"/>
  <c r="P2567" i="1"/>
  <c r="Q2567" i="1"/>
  <c r="Z2567" i="1"/>
  <c r="M2568" i="1"/>
  <c r="O2568" i="1" s="1"/>
  <c r="P2568" i="1"/>
  <c r="Q2568" i="1"/>
  <c r="Z2568" i="1"/>
  <c r="M2569" i="1"/>
  <c r="O2569" i="1" s="1"/>
  <c r="P2569" i="1"/>
  <c r="Q2569" i="1"/>
  <c r="Z2569" i="1"/>
  <c r="M2570" i="1"/>
  <c r="O2570" i="1" s="1"/>
  <c r="P2570" i="1"/>
  <c r="Q2570" i="1"/>
  <c r="Z2570" i="1"/>
  <c r="M2571" i="1"/>
  <c r="O2571" i="1" s="1"/>
  <c r="P2571" i="1"/>
  <c r="Q2571" i="1"/>
  <c r="Z2571" i="1"/>
  <c r="M2572" i="1"/>
  <c r="O2572" i="1" s="1"/>
  <c r="P2572" i="1"/>
  <c r="Q2572" i="1"/>
  <c r="Z2572" i="1"/>
  <c r="M2573" i="1"/>
  <c r="O2573" i="1" s="1"/>
  <c r="P2573" i="1"/>
  <c r="Q2573" i="1"/>
  <c r="Z2573" i="1"/>
  <c r="M2574" i="1"/>
  <c r="O2574" i="1" s="1"/>
  <c r="P2574" i="1"/>
  <c r="Q2574" i="1"/>
  <c r="Z2574" i="1"/>
  <c r="M2575" i="1"/>
  <c r="O2575" i="1" s="1"/>
  <c r="P2575" i="1"/>
  <c r="Q2575" i="1"/>
  <c r="Z2575" i="1"/>
  <c r="M2576" i="1"/>
  <c r="O2576" i="1" s="1"/>
  <c r="P2576" i="1"/>
  <c r="Q2576" i="1"/>
  <c r="Z2576" i="1"/>
  <c r="M2577" i="1"/>
  <c r="O2577" i="1" s="1"/>
  <c r="P2577" i="1"/>
  <c r="Q2577" i="1"/>
  <c r="Z2577" i="1"/>
  <c r="M2578" i="1"/>
  <c r="O2578" i="1" s="1"/>
  <c r="P2578" i="1"/>
  <c r="Q2578" i="1"/>
  <c r="Z2578" i="1"/>
  <c r="M2579" i="1"/>
  <c r="O2579" i="1" s="1"/>
  <c r="P2579" i="1"/>
  <c r="Q2579" i="1"/>
  <c r="Z2579" i="1"/>
  <c r="M2580" i="1"/>
  <c r="O2580" i="1" s="1"/>
  <c r="P2580" i="1"/>
  <c r="Q2580" i="1"/>
  <c r="Z2580" i="1"/>
  <c r="M2581" i="1"/>
  <c r="O2581" i="1" s="1"/>
  <c r="P2581" i="1"/>
  <c r="Q2581" i="1"/>
  <c r="Z2581" i="1"/>
  <c r="M2582" i="1"/>
  <c r="O2582" i="1" s="1"/>
  <c r="P2582" i="1"/>
  <c r="Q2582" i="1"/>
  <c r="Z2582" i="1"/>
  <c r="M2583" i="1"/>
  <c r="O2583" i="1" s="1"/>
  <c r="P2583" i="1"/>
  <c r="Q2583" i="1"/>
  <c r="Z2583" i="1"/>
  <c r="M2584" i="1"/>
  <c r="O2584" i="1" s="1"/>
  <c r="P2584" i="1"/>
  <c r="Q2584" i="1"/>
  <c r="Z2584" i="1"/>
  <c r="M2585" i="1"/>
  <c r="O2585" i="1" s="1"/>
  <c r="P2585" i="1"/>
  <c r="Q2585" i="1"/>
  <c r="Z2585" i="1"/>
  <c r="M2586" i="1"/>
  <c r="O2586" i="1" s="1"/>
  <c r="P2586" i="1"/>
  <c r="Q2586" i="1"/>
  <c r="Z2586" i="1"/>
  <c r="M2587" i="1"/>
  <c r="O2587" i="1" s="1"/>
  <c r="P2587" i="1"/>
  <c r="Q2587" i="1"/>
  <c r="Z2587" i="1"/>
  <c r="M2588" i="1"/>
  <c r="O2588" i="1" s="1"/>
  <c r="P2588" i="1"/>
  <c r="Q2588" i="1"/>
  <c r="Z2588" i="1"/>
  <c r="M2589" i="1"/>
  <c r="O2589" i="1" s="1"/>
  <c r="P2589" i="1"/>
  <c r="Q2589" i="1"/>
  <c r="Z2589" i="1"/>
  <c r="M2590" i="1"/>
  <c r="O2590" i="1" s="1"/>
  <c r="P2590" i="1"/>
  <c r="Q2590" i="1"/>
  <c r="Z2590" i="1"/>
  <c r="M2591" i="1"/>
  <c r="O2591" i="1" s="1"/>
  <c r="P2591" i="1"/>
  <c r="Q2591" i="1"/>
  <c r="Z2591" i="1"/>
  <c r="M2592" i="1"/>
  <c r="O2592" i="1" s="1"/>
  <c r="P2592" i="1"/>
  <c r="Q2592" i="1"/>
  <c r="Z2592" i="1"/>
  <c r="M2593" i="1"/>
  <c r="O2593" i="1" s="1"/>
  <c r="P2593" i="1"/>
  <c r="Q2593" i="1"/>
  <c r="Z2593" i="1"/>
  <c r="M2594" i="1"/>
  <c r="O2594" i="1" s="1"/>
  <c r="P2594" i="1"/>
  <c r="Q2594" i="1"/>
  <c r="Z2594" i="1"/>
  <c r="M2595" i="1"/>
  <c r="O2595" i="1" s="1"/>
  <c r="P2595" i="1"/>
  <c r="Q2595" i="1"/>
  <c r="Z2595" i="1"/>
  <c r="M2596" i="1"/>
  <c r="O2596" i="1"/>
  <c r="P2596" i="1"/>
  <c r="Q2596" i="1"/>
  <c r="Z2596" i="1"/>
  <c r="M2597" i="1"/>
  <c r="O2597" i="1" s="1"/>
  <c r="P2597" i="1"/>
  <c r="Q2597" i="1"/>
  <c r="Z2597" i="1"/>
  <c r="M2598" i="1"/>
  <c r="O2598" i="1" s="1"/>
  <c r="P2598" i="1"/>
  <c r="Q2598" i="1"/>
  <c r="Z2598" i="1"/>
  <c r="M2599" i="1"/>
  <c r="O2599" i="1" s="1"/>
  <c r="P2599" i="1"/>
  <c r="Q2599" i="1"/>
  <c r="Z2599" i="1"/>
  <c r="M2600" i="1"/>
  <c r="O2600" i="1" s="1"/>
  <c r="P2600" i="1"/>
  <c r="Q2600" i="1"/>
  <c r="Z2600" i="1"/>
  <c r="M2601" i="1"/>
  <c r="O2601" i="1" s="1"/>
  <c r="P2601" i="1"/>
  <c r="Q2601" i="1"/>
  <c r="Z2601" i="1"/>
  <c r="M2602" i="1"/>
  <c r="O2602" i="1" s="1"/>
  <c r="P2602" i="1"/>
  <c r="Q2602" i="1"/>
  <c r="Z2602" i="1"/>
  <c r="M2603" i="1"/>
  <c r="O2603" i="1" s="1"/>
  <c r="P2603" i="1"/>
  <c r="Q2603" i="1"/>
  <c r="Z2603" i="1"/>
  <c r="M2604" i="1"/>
  <c r="O2604" i="1" s="1"/>
  <c r="P2604" i="1"/>
  <c r="Q2604" i="1"/>
  <c r="Z2604" i="1"/>
  <c r="M2605" i="1"/>
  <c r="O2605" i="1" s="1"/>
  <c r="P2605" i="1"/>
  <c r="Q2605" i="1"/>
  <c r="Z2605" i="1"/>
  <c r="M2606" i="1"/>
  <c r="O2606" i="1" s="1"/>
  <c r="P2606" i="1"/>
  <c r="Q2606" i="1"/>
  <c r="Z2606" i="1"/>
  <c r="M2607" i="1"/>
  <c r="O2607" i="1" s="1"/>
  <c r="P2607" i="1"/>
  <c r="Q2607" i="1"/>
  <c r="Z2607" i="1"/>
  <c r="M2608" i="1"/>
  <c r="O2608" i="1" s="1"/>
  <c r="P2608" i="1"/>
  <c r="Q2608" i="1"/>
  <c r="Z2608" i="1"/>
  <c r="M2609" i="1"/>
  <c r="O2609" i="1" s="1"/>
  <c r="P2609" i="1"/>
  <c r="Q2609" i="1"/>
  <c r="Z2609" i="1"/>
  <c r="M2610" i="1"/>
  <c r="O2610" i="1" s="1"/>
  <c r="P2610" i="1"/>
  <c r="Q2610" i="1"/>
  <c r="Z2610" i="1"/>
  <c r="M2611" i="1"/>
  <c r="O2611" i="1" s="1"/>
  <c r="P2611" i="1"/>
  <c r="Q2611" i="1"/>
  <c r="Z2611" i="1"/>
  <c r="M2612" i="1"/>
  <c r="O2612" i="1" s="1"/>
  <c r="P2612" i="1"/>
  <c r="Q2612" i="1"/>
  <c r="Z2612" i="1"/>
  <c r="M2613" i="1"/>
  <c r="O2613" i="1" s="1"/>
  <c r="P2613" i="1"/>
  <c r="Q2613" i="1"/>
  <c r="Z2613" i="1"/>
  <c r="M2614" i="1"/>
  <c r="O2614" i="1" s="1"/>
  <c r="P2614" i="1"/>
  <c r="Q2614" i="1"/>
  <c r="Z2614" i="1"/>
  <c r="M2615" i="1"/>
  <c r="O2615" i="1" s="1"/>
  <c r="P2615" i="1"/>
  <c r="Q2615" i="1"/>
  <c r="Z2615" i="1"/>
  <c r="M2616" i="1"/>
  <c r="O2616" i="1" s="1"/>
  <c r="P2616" i="1"/>
  <c r="Q2616" i="1"/>
  <c r="Z2616" i="1"/>
  <c r="M2617" i="1"/>
  <c r="O2617" i="1" s="1"/>
  <c r="P2617" i="1"/>
  <c r="Q2617" i="1"/>
  <c r="Z2617" i="1"/>
  <c r="M2618" i="1"/>
  <c r="O2618" i="1" s="1"/>
  <c r="P2618" i="1"/>
  <c r="Q2618" i="1"/>
  <c r="Z2618" i="1"/>
  <c r="M2619" i="1"/>
  <c r="O2619" i="1" s="1"/>
  <c r="P2619" i="1"/>
  <c r="Q2619" i="1"/>
  <c r="Z2619" i="1"/>
  <c r="M2620" i="1"/>
  <c r="O2620" i="1" s="1"/>
  <c r="P2620" i="1"/>
  <c r="Q2620" i="1"/>
  <c r="Z2620" i="1"/>
  <c r="M2621" i="1"/>
  <c r="O2621" i="1"/>
  <c r="P2621" i="1"/>
  <c r="Q2621" i="1"/>
  <c r="Z2621" i="1"/>
  <c r="M2622" i="1"/>
  <c r="O2622" i="1" s="1"/>
  <c r="P2622" i="1"/>
  <c r="Q2622" i="1"/>
  <c r="Z2622" i="1"/>
  <c r="M2623" i="1"/>
  <c r="O2623" i="1" s="1"/>
  <c r="P2623" i="1"/>
  <c r="Q2623" i="1"/>
  <c r="Z2623" i="1"/>
  <c r="M2624" i="1"/>
  <c r="O2624" i="1" s="1"/>
  <c r="P2624" i="1"/>
  <c r="Q2624" i="1"/>
  <c r="Z2624" i="1"/>
  <c r="M2625" i="1"/>
  <c r="O2625" i="1" s="1"/>
  <c r="P2625" i="1"/>
  <c r="Q2625" i="1"/>
  <c r="Z2625" i="1"/>
  <c r="M2626" i="1"/>
  <c r="O2626" i="1" s="1"/>
  <c r="P2626" i="1"/>
  <c r="Q2626" i="1"/>
  <c r="Z2626" i="1"/>
  <c r="M2627" i="1"/>
  <c r="O2627" i="1" s="1"/>
  <c r="P2627" i="1"/>
  <c r="Q2627" i="1"/>
  <c r="Z2627" i="1"/>
  <c r="M2628" i="1"/>
  <c r="O2628" i="1" s="1"/>
  <c r="P2628" i="1"/>
  <c r="Q2628" i="1"/>
  <c r="Z2628" i="1"/>
  <c r="M2629" i="1"/>
  <c r="O2629" i="1" s="1"/>
  <c r="P2629" i="1"/>
  <c r="Q2629" i="1"/>
  <c r="Z2629" i="1"/>
  <c r="M2630" i="1"/>
  <c r="O2630" i="1" s="1"/>
  <c r="P2630" i="1"/>
  <c r="Q2630" i="1"/>
  <c r="Z2630" i="1"/>
  <c r="M2631" i="1"/>
  <c r="O2631" i="1" s="1"/>
  <c r="P2631" i="1"/>
  <c r="Q2631" i="1"/>
  <c r="Z2631" i="1"/>
  <c r="M2632" i="1"/>
  <c r="O2632" i="1" s="1"/>
  <c r="P2632" i="1"/>
  <c r="Q2632" i="1"/>
  <c r="Z2632" i="1"/>
  <c r="M2633" i="1"/>
  <c r="O2633" i="1" s="1"/>
  <c r="P2633" i="1"/>
  <c r="Q2633" i="1"/>
  <c r="Z2633" i="1"/>
  <c r="M2634" i="1"/>
  <c r="O2634" i="1" s="1"/>
  <c r="P2634" i="1"/>
  <c r="Q2634" i="1"/>
  <c r="Z2634" i="1"/>
  <c r="M2635" i="1"/>
  <c r="O2635" i="1" s="1"/>
  <c r="P2635" i="1"/>
  <c r="Q2635" i="1"/>
  <c r="Z2635" i="1"/>
  <c r="M2636" i="1"/>
  <c r="O2636" i="1" s="1"/>
  <c r="P2636" i="1"/>
  <c r="Q2636" i="1"/>
  <c r="Z2636" i="1"/>
  <c r="M2637" i="1"/>
  <c r="O2637" i="1"/>
  <c r="P2637" i="1"/>
  <c r="Q2637" i="1"/>
  <c r="Z2637" i="1"/>
  <c r="M2638" i="1"/>
  <c r="O2638" i="1" s="1"/>
  <c r="P2638" i="1"/>
  <c r="Q2638" i="1"/>
  <c r="Z2638" i="1"/>
  <c r="M2639" i="1"/>
  <c r="O2639" i="1" s="1"/>
  <c r="P2639" i="1"/>
  <c r="Q2639" i="1"/>
  <c r="Z2639" i="1"/>
  <c r="M2640" i="1"/>
  <c r="O2640" i="1" s="1"/>
  <c r="P2640" i="1"/>
  <c r="Q2640" i="1"/>
  <c r="Z2640" i="1"/>
  <c r="M2641" i="1"/>
  <c r="O2641" i="1" s="1"/>
  <c r="P2641" i="1"/>
  <c r="Q2641" i="1"/>
  <c r="Z2641" i="1"/>
  <c r="M2642" i="1"/>
  <c r="O2642" i="1" s="1"/>
  <c r="P2642" i="1"/>
  <c r="Q2642" i="1"/>
  <c r="Z2642" i="1"/>
  <c r="M2643" i="1"/>
  <c r="O2643" i="1" s="1"/>
  <c r="P2643" i="1"/>
  <c r="Q2643" i="1"/>
  <c r="Z2643" i="1"/>
  <c r="M2644" i="1"/>
  <c r="O2644" i="1" s="1"/>
  <c r="P2644" i="1"/>
  <c r="Q2644" i="1"/>
  <c r="Z2644" i="1"/>
  <c r="M2645" i="1"/>
  <c r="O2645" i="1" s="1"/>
  <c r="P2645" i="1"/>
  <c r="Q2645" i="1"/>
  <c r="Z2645" i="1"/>
  <c r="M2646" i="1"/>
  <c r="O2646" i="1" s="1"/>
  <c r="P2646" i="1"/>
  <c r="Q2646" i="1"/>
  <c r="Z2646" i="1"/>
  <c r="M2647" i="1"/>
  <c r="O2647" i="1" s="1"/>
  <c r="P2647" i="1"/>
  <c r="Q2647" i="1"/>
  <c r="Z2647" i="1"/>
  <c r="M2648" i="1"/>
  <c r="O2648" i="1" s="1"/>
  <c r="P2648" i="1"/>
  <c r="Q2648" i="1"/>
  <c r="Z2648" i="1"/>
  <c r="M2649" i="1"/>
  <c r="O2649" i="1" s="1"/>
  <c r="P2649" i="1"/>
  <c r="Q2649" i="1"/>
  <c r="Z2649" i="1"/>
  <c r="M2650" i="1"/>
  <c r="O2650" i="1" s="1"/>
  <c r="P2650" i="1"/>
  <c r="Q2650" i="1"/>
  <c r="Z2650" i="1"/>
  <c r="M2651" i="1"/>
  <c r="O2651" i="1" s="1"/>
  <c r="P2651" i="1"/>
  <c r="Q2651" i="1"/>
  <c r="Z2651" i="1"/>
  <c r="M2652" i="1"/>
  <c r="O2652" i="1" s="1"/>
  <c r="P2652" i="1"/>
  <c r="Q2652" i="1"/>
  <c r="Z2652" i="1"/>
  <c r="M2653" i="1"/>
  <c r="O2653" i="1"/>
  <c r="P2653" i="1"/>
  <c r="Q2653" i="1"/>
  <c r="Z2653" i="1"/>
  <c r="M2654" i="1"/>
  <c r="O2654" i="1" s="1"/>
  <c r="P2654" i="1"/>
  <c r="Q2654" i="1"/>
  <c r="Z2654" i="1"/>
  <c r="M2655" i="1"/>
  <c r="O2655" i="1" s="1"/>
  <c r="P2655" i="1"/>
  <c r="Q2655" i="1"/>
  <c r="Z2655" i="1"/>
  <c r="M2656" i="1"/>
  <c r="O2656" i="1" s="1"/>
  <c r="P2656" i="1"/>
  <c r="Q2656" i="1"/>
  <c r="Z2656" i="1"/>
  <c r="M2657" i="1"/>
  <c r="O2657" i="1" s="1"/>
  <c r="P2657" i="1"/>
  <c r="Q2657" i="1"/>
  <c r="Z2657" i="1"/>
  <c r="M2658" i="1"/>
  <c r="O2658" i="1" s="1"/>
  <c r="P2658" i="1"/>
  <c r="Q2658" i="1"/>
  <c r="Z2658" i="1"/>
  <c r="M2659" i="1"/>
  <c r="O2659" i="1" s="1"/>
  <c r="P2659" i="1"/>
  <c r="Q2659" i="1"/>
  <c r="Z2659" i="1"/>
  <c r="M2660" i="1"/>
  <c r="O2660" i="1" s="1"/>
  <c r="P2660" i="1"/>
  <c r="Q2660" i="1"/>
  <c r="Z2660" i="1"/>
  <c r="M2661" i="1"/>
  <c r="O2661" i="1" s="1"/>
  <c r="P2661" i="1"/>
  <c r="Q2661" i="1"/>
  <c r="Z2661" i="1"/>
  <c r="M2662" i="1"/>
  <c r="O2662" i="1" s="1"/>
  <c r="P2662" i="1"/>
  <c r="Q2662" i="1"/>
  <c r="Z2662" i="1"/>
  <c r="M2663" i="1"/>
  <c r="O2663" i="1" s="1"/>
  <c r="P2663" i="1"/>
  <c r="Q2663" i="1"/>
  <c r="Z2663" i="1"/>
  <c r="M2664" i="1"/>
  <c r="O2664" i="1" s="1"/>
  <c r="P2664" i="1"/>
  <c r="Q2664" i="1"/>
  <c r="Z2664" i="1"/>
  <c r="M2666" i="1"/>
  <c r="O2666" i="1" s="1"/>
  <c r="P2666" i="1"/>
  <c r="Q2666" i="1"/>
  <c r="Z2666" i="1"/>
  <c r="M2667" i="1"/>
  <c r="O2667" i="1" s="1"/>
  <c r="P2667" i="1"/>
  <c r="Q2667" i="1"/>
  <c r="Z2667" i="1"/>
  <c r="M2668" i="1"/>
  <c r="O2668" i="1" s="1"/>
  <c r="P2668" i="1"/>
  <c r="Q2668" i="1"/>
  <c r="Z2668" i="1"/>
  <c r="M2669" i="1"/>
  <c r="O2669" i="1" s="1"/>
  <c r="P2669" i="1"/>
  <c r="Q2669" i="1"/>
  <c r="Z2669" i="1"/>
  <c r="M2670" i="1"/>
  <c r="O2670" i="1" s="1"/>
  <c r="P2670" i="1"/>
  <c r="Q2670" i="1"/>
  <c r="Z2670" i="1"/>
  <c r="M2671" i="1"/>
  <c r="O2671" i="1" s="1"/>
  <c r="P2671" i="1"/>
  <c r="Q2671" i="1"/>
  <c r="Z2671" i="1"/>
  <c r="M2672" i="1"/>
  <c r="O2672" i="1" s="1"/>
  <c r="P2672" i="1"/>
  <c r="Q2672" i="1"/>
  <c r="Z2672" i="1"/>
  <c r="M2673" i="1"/>
  <c r="O2673" i="1" s="1"/>
  <c r="P2673" i="1"/>
  <c r="Q2673" i="1"/>
  <c r="Z2673" i="1"/>
  <c r="M2674" i="1"/>
  <c r="O2674" i="1" s="1"/>
  <c r="P2674" i="1"/>
  <c r="Q2674" i="1"/>
  <c r="Z2674" i="1"/>
  <c r="M2675" i="1"/>
  <c r="O2675" i="1" s="1"/>
  <c r="P2675" i="1"/>
  <c r="Q2675" i="1"/>
  <c r="Z2675" i="1"/>
  <c r="M2676" i="1"/>
  <c r="O2676" i="1" s="1"/>
  <c r="P2676" i="1"/>
  <c r="Q2676" i="1"/>
  <c r="Z2676" i="1"/>
  <c r="M2677" i="1"/>
  <c r="O2677" i="1" s="1"/>
  <c r="P2677" i="1"/>
  <c r="Q2677" i="1"/>
  <c r="Z2677" i="1"/>
  <c r="M2678" i="1"/>
  <c r="O2678" i="1" s="1"/>
  <c r="P2678" i="1"/>
  <c r="Q2678" i="1"/>
  <c r="Z2678" i="1"/>
  <c r="M2679" i="1"/>
  <c r="O2679" i="1" s="1"/>
  <c r="P2679" i="1"/>
  <c r="Q2679" i="1"/>
  <c r="Z2679" i="1"/>
  <c r="M2680" i="1"/>
  <c r="O2680" i="1" s="1"/>
  <c r="P2680" i="1"/>
  <c r="Q2680" i="1"/>
  <c r="Z2680" i="1"/>
  <c r="M2681" i="1"/>
  <c r="O2681" i="1" s="1"/>
  <c r="P2681" i="1"/>
  <c r="Q2681" i="1"/>
  <c r="Z2681" i="1"/>
  <c r="M2682" i="1"/>
  <c r="O2682" i="1" s="1"/>
  <c r="P2682" i="1"/>
  <c r="Q2682" i="1"/>
  <c r="Z2682" i="1"/>
  <c r="M2683" i="1"/>
  <c r="O2683" i="1" s="1"/>
  <c r="P2683" i="1"/>
  <c r="Q2683" i="1"/>
  <c r="Z2683" i="1"/>
  <c r="M2684" i="1"/>
  <c r="O2684" i="1" s="1"/>
  <c r="P2684" i="1"/>
  <c r="Q2684" i="1"/>
  <c r="Z2684" i="1"/>
  <c r="M2685" i="1"/>
  <c r="O2685" i="1" s="1"/>
  <c r="P2685" i="1"/>
  <c r="Q2685" i="1"/>
  <c r="Z2685" i="1"/>
  <c r="M2686" i="1"/>
  <c r="O2686" i="1"/>
  <c r="P2686" i="1"/>
  <c r="Q2686" i="1"/>
  <c r="Z2686" i="1"/>
  <c r="M2687" i="1"/>
  <c r="O2687" i="1" s="1"/>
  <c r="P2687" i="1"/>
  <c r="Q2687" i="1"/>
  <c r="Z2687" i="1"/>
  <c r="M2688" i="1"/>
  <c r="O2688" i="1" s="1"/>
  <c r="P2688" i="1"/>
  <c r="Q2688" i="1"/>
  <c r="Z2688" i="1"/>
  <c r="M2689" i="1"/>
  <c r="O2689" i="1" s="1"/>
  <c r="P2689" i="1"/>
  <c r="Q2689" i="1"/>
  <c r="Z2689" i="1"/>
  <c r="M2690" i="1"/>
  <c r="O2690" i="1" s="1"/>
  <c r="P2690" i="1"/>
  <c r="Q2690" i="1"/>
  <c r="Z2690" i="1"/>
  <c r="M2691" i="1"/>
  <c r="O2691" i="1" s="1"/>
  <c r="P2691" i="1"/>
  <c r="Q2691" i="1"/>
  <c r="Z2691" i="1"/>
  <c r="M2692" i="1"/>
  <c r="O2692" i="1" s="1"/>
  <c r="P2692" i="1"/>
  <c r="Q2692" i="1"/>
  <c r="Z2692" i="1"/>
  <c r="M2693" i="1"/>
  <c r="O2693" i="1" s="1"/>
  <c r="P2693" i="1"/>
  <c r="Q2693" i="1"/>
  <c r="Z2693" i="1"/>
  <c r="M2694" i="1"/>
  <c r="O2694" i="1" s="1"/>
  <c r="P2694" i="1"/>
  <c r="Q2694" i="1"/>
  <c r="Z2694" i="1"/>
  <c r="M2695" i="1"/>
  <c r="O2695" i="1" s="1"/>
  <c r="P2695" i="1"/>
  <c r="Q2695" i="1"/>
  <c r="Z2695" i="1"/>
  <c r="M2696" i="1"/>
  <c r="O2696" i="1" s="1"/>
  <c r="P2696" i="1"/>
  <c r="Q2696" i="1"/>
  <c r="Z2696" i="1"/>
  <c r="M2697" i="1"/>
  <c r="O2697" i="1" s="1"/>
  <c r="P2697" i="1"/>
  <c r="Q2697" i="1"/>
  <c r="Z2697" i="1"/>
  <c r="M2698" i="1"/>
  <c r="O2698" i="1" s="1"/>
  <c r="P2698" i="1"/>
  <c r="Q2698" i="1"/>
  <c r="Z2698" i="1"/>
  <c r="M2699" i="1"/>
  <c r="O2699" i="1" s="1"/>
  <c r="P2699" i="1"/>
  <c r="Q2699" i="1"/>
  <c r="Z2699" i="1"/>
  <c r="M2700" i="1"/>
  <c r="O2700" i="1" s="1"/>
  <c r="P2700" i="1"/>
  <c r="Q2700" i="1"/>
  <c r="Z2700" i="1"/>
  <c r="M2701" i="1"/>
  <c r="O2701" i="1" s="1"/>
  <c r="P2701" i="1"/>
  <c r="Q2701" i="1"/>
  <c r="Z2701" i="1"/>
  <c r="M2702" i="1"/>
  <c r="O2702" i="1" s="1"/>
  <c r="P2702" i="1"/>
  <c r="Q2702" i="1"/>
  <c r="Z2702" i="1"/>
  <c r="M2703" i="1"/>
  <c r="O2703" i="1" s="1"/>
  <c r="P2703" i="1"/>
  <c r="Q2703" i="1"/>
  <c r="Z2703" i="1"/>
  <c r="M2704" i="1"/>
  <c r="O2704" i="1" s="1"/>
  <c r="Z2704" i="1"/>
  <c r="M2705" i="1"/>
  <c r="O2705" i="1" s="1"/>
  <c r="P2705" i="1"/>
  <c r="Q2705" i="1"/>
  <c r="Z2705" i="1"/>
  <c r="M2706" i="1"/>
  <c r="O2706" i="1" s="1"/>
  <c r="P2706" i="1"/>
  <c r="Q2706" i="1"/>
  <c r="Z2706" i="1"/>
  <c r="M2707" i="1"/>
  <c r="O2707" i="1" s="1"/>
  <c r="P2707" i="1"/>
  <c r="Q2707" i="1"/>
  <c r="Z2707" i="1"/>
  <c r="M2708" i="1"/>
  <c r="O2708" i="1" s="1"/>
  <c r="P2708" i="1"/>
  <c r="Q2708" i="1"/>
  <c r="Z2708" i="1"/>
  <c r="M2709" i="1"/>
  <c r="O2709" i="1" s="1"/>
  <c r="P2709" i="1"/>
  <c r="Q2709" i="1"/>
  <c r="Z2709" i="1"/>
  <c r="M2710" i="1"/>
  <c r="O2710" i="1" s="1"/>
  <c r="P2710" i="1"/>
  <c r="Q2710" i="1"/>
  <c r="Z2710" i="1"/>
  <c r="M2711" i="1"/>
  <c r="O2711" i="1" s="1"/>
  <c r="P2711" i="1"/>
  <c r="Q2711" i="1"/>
  <c r="Z2711" i="1"/>
  <c r="M2712" i="1"/>
  <c r="O2712" i="1" s="1"/>
  <c r="P2712" i="1"/>
  <c r="Q2712" i="1"/>
  <c r="Z2712" i="1"/>
  <c r="M2713" i="1"/>
  <c r="O2713" i="1" s="1"/>
  <c r="P2713" i="1"/>
  <c r="Q2713" i="1"/>
  <c r="Z2713" i="1"/>
  <c r="M2714" i="1"/>
  <c r="O2714" i="1" s="1"/>
  <c r="P2714" i="1"/>
  <c r="Q2714" i="1"/>
  <c r="Z2714" i="1"/>
  <c r="M2715" i="1"/>
  <c r="O2715" i="1" s="1"/>
  <c r="P2715" i="1"/>
  <c r="Q2715" i="1"/>
  <c r="Z2715" i="1"/>
  <c r="M2716" i="1"/>
  <c r="O2716" i="1" s="1"/>
  <c r="P2716" i="1"/>
  <c r="Q2716" i="1"/>
  <c r="Z2716" i="1"/>
  <c r="M2717" i="1"/>
  <c r="O2717" i="1" s="1"/>
  <c r="P2717" i="1"/>
  <c r="Q2717" i="1"/>
  <c r="Z2717" i="1"/>
  <c r="M2718" i="1"/>
  <c r="O2718" i="1"/>
  <c r="P2718" i="1"/>
  <c r="Q2718" i="1"/>
  <c r="Z2718" i="1"/>
  <c r="M2719" i="1"/>
  <c r="O2719" i="1" s="1"/>
  <c r="P2719" i="1"/>
  <c r="Q2719" i="1"/>
  <c r="Z2719" i="1"/>
  <c r="M2720" i="1"/>
  <c r="O2720" i="1" s="1"/>
  <c r="P2720" i="1"/>
  <c r="Q2720" i="1"/>
  <c r="Z2720" i="1"/>
  <c r="M2721" i="1"/>
  <c r="O2721" i="1" s="1"/>
  <c r="P2721" i="1"/>
  <c r="Q2721" i="1"/>
  <c r="Z2721" i="1"/>
  <c r="M2722" i="1"/>
  <c r="O2722" i="1" s="1"/>
  <c r="P2722" i="1"/>
  <c r="Q2722" i="1"/>
  <c r="Z2722" i="1"/>
  <c r="M2723" i="1"/>
  <c r="O2723" i="1" s="1"/>
  <c r="P2723" i="1"/>
  <c r="Q2723" i="1"/>
  <c r="Z2723" i="1"/>
  <c r="M2724" i="1"/>
  <c r="O2724" i="1" s="1"/>
  <c r="P2724" i="1"/>
  <c r="Q2724" i="1"/>
  <c r="Z2724" i="1"/>
  <c r="M2725" i="1"/>
  <c r="O2725" i="1" s="1"/>
  <c r="P2725" i="1"/>
  <c r="Q2725" i="1"/>
  <c r="Z2725" i="1"/>
  <c r="M2726" i="1"/>
  <c r="O2726" i="1" s="1"/>
  <c r="P2726" i="1"/>
  <c r="Q2726" i="1"/>
  <c r="Z2726" i="1"/>
  <c r="M2727" i="1"/>
  <c r="O2727" i="1" s="1"/>
  <c r="P2727" i="1"/>
  <c r="Q2727" i="1"/>
  <c r="Z2727" i="1"/>
  <c r="M2728" i="1"/>
  <c r="O2728" i="1" s="1"/>
  <c r="P2728" i="1"/>
  <c r="Q2728" i="1"/>
  <c r="Z2728" i="1"/>
  <c r="M2729" i="1"/>
  <c r="O2729" i="1" s="1"/>
  <c r="P2729" i="1"/>
  <c r="Q2729" i="1"/>
  <c r="Z2729" i="1"/>
  <c r="M2730" i="1"/>
  <c r="O2730" i="1" s="1"/>
  <c r="P2730" i="1"/>
  <c r="Q2730" i="1"/>
  <c r="Z2730" i="1"/>
  <c r="M2731" i="1"/>
  <c r="O2731" i="1" s="1"/>
  <c r="P2731" i="1"/>
  <c r="Q2731" i="1"/>
  <c r="Z2731" i="1"/>
  <c r="M2732" i="1"/>
  <c r="O2732" i="1" s="1"/>
  <c r="P2732" i="1"/>
  <c r="Q2732" i="1"/>
  <c r="Z2732" i="1"/>
  <c r="M2733" i="1"/>
  <c r="O2733" i="1" s="1"/>
  <c r="P2733" i="1"/>
  <c r="Q2733" i="1"/>
  <c r="Z2733" i="1"/>
  <c r="M2734" i="1"/>
  <c r="O2734" i="1" s="1"/>
  <c r="P2734" i="1"/>
  <c r="Q2734" i="1"/>
  <c r="Z2734" i="1"/>
  <c r="M2735" i="1"/>
  <c r="O2735" i="1" s="1"/>
  <c r="P2735" i="1"/>
  <c r="Q2735" i="1"/>
  <c r="Z2735" i="1"/>
  <c r="M2736" i="1"/>
  <c r="O2736" i="1" s="1"/>
  <c r="P2736" i="1"/>
  <c r="Q2736" i="1"/>
  <c r="Z2736" i="1"/>
  <c r="M2737" i="1"/>
  <c r="O2737" i="1" s="1"/>
  <c r="P2737" i="1"/>
  <c r="Q2737" i="1"/>
  <c r="Z2737" i="1"/>
  <c r="M2739" i="1"/>
  <c r="O2739" i="1" s="1"/>
  <c r="P2739" i="1"/>
  <c r="Q2739" i="1"/>
  <c r="Z2739" i="1"/>
  <c r="M2740" i="1"/>
  <c r="O2740" i="1" s="1"/>
  <c r="P2740" i="1"/>
  <c r="Q2740" i="1"/>
  <c r="Z2740" i="1"/>
  <c r="M2741" i="1"/>
  <c r="O2741" i="1" s="1"/>
  <c r="P2741" i="1"/>
  <c r="Q2741" i="1"/>
  <c r="Z2741" i="1"/>
  <c r="M2742" i="1"/>
  <c r="O2742" i="1" s="1"/>
  <c r="P2742" i="1"/>
  <c r="Q2742" i="1"/>
  <c r="Z2742" i="1"/>
  <c r="M2744" i="1"/>
  <c r="O2744" i="1" s="1"/>
  <c r="P2744" i="1"/>
  <c r="Q2744" i="1"/>
  <c r="Z2744" i="1"/>
  <c r="M2745" i="1"/>
  <c r="O2745" i="1" s="1"/>
  <c r="P2745" i="1"/>
  <c r="Q2745" i="1"/>
  <c r="Z2745" i="1"/>
  <c r="M2746" i="1"/>
  <c r="O2746" i="1" s="1"/>
  <c r="P2746" i="1"/>
  <c r="Q2746" i="1"/>
  <c r="Z2746" i="1"/>
  <c r="M2747" i="1"/>
  <c r="O2747" i="1" s="1"/>
  <c r="P2747" i="1"/>
  <c r="Q2747" i="1"/>
  <c r="Z2747" i="1"/>
  <c r="M2749" i="1"/>
  <c r="O2749" i="1" s="1"/>
  <c r="P2749" i="1"/>
  <c r="Q2749" i="1"/>
  <c r="Z2749" i="1"/>
  <c r="M2750" i="1"/>
  <c r="O2750" i="1" s="1"/>
  <c r="P2750" i="1"/>
  <c r="Q2750" i="1"/>
  <c r="Z2750" i="1"/>
  <c r="M2751" i="1"/>
  <c r="O2751" i="1" s="1"/>
  <c r="P2751" i="1"/>
  <c r="Q2751" i="1"/>
  <c r="Z2751" i="1"/>
  <c r="M2752" i="1"/>
  <c r="O2752" i="1" s="1"/>
  <c r="P2752" i="1"/>
  <c r="Q2752" i="1"/>
  <c r="Z2752" i="1"/>
  <c r="M2754" i="1"/>
  <c r="O2754" i="1" s="1"/>
  <c r="P2754" i="1"/>
  <c r="Q2754" i="1"/>
  <c r="Z2754" i="1"/>
  <c r="M2755" i="1"/>
  <c r="O2755" i="1" s="1"/>
  <c r="P2755" i="1"/>
  <c r="Q2755" i="1"/>
  <c r="Z2755" i="1"/>
  <c r="M2756" i="1"/>
  <c r="O2756" i="1" s="1"/>
  <c r="P2756" i="1"/>
  <c r="Q2756" i="1"/>
  <c r="Z2756" i="1"/>
  <c r="M2757" i="1"/>
  <c r="O2757" i="1"/>
  <c r="P2757" i="1"/>
  <c r="Q2757" i="1"/>
  <c r="Z2757" i="1"/>
  <c r="M2758" i="1"/>
  <c r="O2758" i="1" s="1"/>
  <c r="P2758" i="1"/>
  <c r="Q2758" i="1"/>
  <c r="Z2758" i="1"/>
  <c r="M2759" i="1"/>
  <c r="O2759" i="1" s="1"/>
  <c r="P2759" i="1"/>
  <c r="Q2759" i="1"/>
  <c r="Z2759" i="1"/>
  <c r="M2760" i="1"/>
  <c r="O2760" i="1" s="1"/>
  <c r="P2760" i="1"/>
  <c r="Q2760" i="1"/>
  <c r="Z2760" i="1"/>
  <c r="M2761" i="1"/>
  <c r="O2761" i="1" s="1"/>
  <c r="P2761" i="1"/>
  <c r="Q2761" i="1"/>
  <c r="Z2761" i="1"/>
  <c r="M2762" i="1"/>
  <c r="O2762" i="1" s="1"/>
  <c r="P2762" i="1"/>
  <c r="Q2762" i="1"/>
  <c r="Z2762" i="1"/>
  <c r="M2763" i="1"/>
  <c r="O2763" i="1" s="1"/>
  <c r="P2763" i="1"/>
  <c r="Q2763" i="1"/>
  <c r="Z2763" i="1"/>
  <c r="M2764" i="1"/>
  <c r="O2764" i="1" s="1"/>
  <c r="P2764" i="1"/>
  <c r="Q2764" i="1"/>
  <c r="Z2764" i="1"/>
  <c r="M2765" i="1"/>
  <c r="O2765" i="1" s="1"/>
  <c r="P2765" i="1"/>
  <c r="Q2765" i="1"/>
  <c r="Z2765" i="1"/>
  <c r="M2767" i="1"/>
  <c r="O2767" i="1" s="1"/>
  <c r="P2767" i="1"/>
  <c r="Q2767" i="1"/>
  <c r="Z2767" i="1"/>
  <c r="M2768" i="1"/>
  <c r="O2768" i="1" s="1"/>
  <c r="P2768" i="1"/>
  <c r="Q2768" i="1"/>
  <c r="Z2768" i="1"/>
  <c r="M2769" i="1"/>
  <c r="O2769" i="1" s="1"/>
  <c r="P2769" i="1"/>
  <c r="Q2769" i="1"/>
  <c r="Z2769" i="1"/>
  <c r="M2770" i="1"/>
  <c r="O2770" i="1" s="1"/>
  <c r="P2770" i="1"/>
  <c r="Q2770" i="1"/>
  <c r="Z2770" i="1"/>
  <c r="M2772" i="1"/>
  <c r="O2772" i="1" s="1"/>
  <c r="P2772" i="1"/>
  <c r="Q2772" i="1"/>
  <c r="Z2772" i="1"/>
  <c r="M2773" i="1"/>
  <c r="O2773" i="1" s="1"/>
  <c r="P2773" i="1"/>
  <c r="Q2773" i="1"/>
  <c r="Z2773" i="1"/>
  <c r="M2774" i="1"/>
  <c r="O2774" i="1" s="1"/>
  <c r="P2774" i="1"/>
  <c r="Q2774" i="1"/>
  <c r="Z2774" i="1"/>
  <c r="M2775" i="1"/>
  <c r="O2775" i="1" s="1"/>
  <c r="P2775" i="1"/>
  <c r="Q2775" i="1"/>
  <c r="Z2775" i="1"/>
  <c r="M2777" i="1"/>
  <c r="O2777" i="1" s="1"/>
  <c r="P2777" i="1"/>
  <c r="Q2777" i="1"/>
  <c r="Z2777" i="1"/>
  <c r="M2778" i="1"/>
  <c r="O2778" i="1" s="1"/>
  <c r="P2778" i="1"/>
  <c r="Q2778" i="1"/>
  <c r="Z2778" i="1"/>
  <c r="M2779" i="1"/>
  <c r="O2779" i="1" s="1"/>
  <c r="P2779" i="1"/>
  <c r="Q2779" i="1"/>
  <c r="Z2779" i="1"/>
  <c r="M2780" i="1"/>
  <c r="O2780" i="1" s="1"/>
  <c r="P2780" i="1"/>
  <c r="Q2780" i="1"/>
  <c r="Z2780" i="1"/>
  <c r="M2782" i="1"/>
  <c r="O2782" i="1" s="1"/>
  <c r="P2782" i="1"/>
  <c r="Q2782" i="1"/>
  <c r="Z2782" i="1"/>
  <c r="M2783" i="1"/>
  <c r="O2783" i="1" s="1"/>
  <c r="P2783" i="1"/>
  <c r="Q2783" i="1"/>
  <c r="Z2783" i="1"/>
  <c r="M2785" i="1"/>
  <c r="O2785" i="1" s="1"/>
  <c r="Z2785" i="1"/>
  <c r="M2786" i="1"/>
  <c r="O2786" i="1" s="1"/>
  <c r="P2786" i="1"/>
  <c r="Q2786" i="1"/>
  <c r="Z2786" i="1"/>
  <c r="M2787" i="1"/>
  <c r="O2787" i="1" s="1"/>
  <c r="P2787" i="1"/>
  <c r="Q2787" i="1"/>
  <c r="Z2787" i="1"/>
  <c r="M2789" i="1"/>
  <c r="O2789" i="1"/>
  <c r="P2789" i="1"/>
  <c r="Q2789" i="1"/>
  <c r="Z2789" i="1"/>
  <c r="M2790" i="1"/>
  <c r="O2790" i="1" s="1"/>
  <c r="P2790" i="1"/>
  <c r="Q2790" i="1"/>
  <c r="Z2790" i="1"/>
  <c r="M2791" i="1"/>
  <c r="O2791" i="1" s="1"/>
  <c r="P2791" i="1"/>
  <c r="Q2791" i="1"/>
  <c r="Z2791" i="1"/>
  <c r="M2792" i="1"/>
  <c r="O2792" i="1" s="1"/>
  <c r="P2792" i="1"/>
  <c r="Q2792" i="1"/>
  <c r="Z2792" i="1"/>
  <c r="M2795" i="1"/>
  <c r="O2795" i="1" s="1"/>
  <c r="P2795" i="1"/>
  <c r="Q2795" i="1"/>
  <c r="M2797" i="1"/>
  <c r="O2797" i="1" s="1"/>
  <c r="P2797" i="1"/>
  <c r="Q2797" i="1"/>
  <c r="Z2797" i="1"/>
  <c r="M2799" i="1"/>
  <c r="O2799" i="1" s="1"/>
  <c r="P2799" i="1"/>
  <c r="Q2799" i="1"/>
</calcChain>
</file>

<file path=xl/sharedStrings.xml><?xml version="1.0" encoding="utf-8"?>
<sst xmlns="http://schemas.openxmlformats.org/spreadsheetml/2006/main" count="29267" uniqueCount="12434">
  <si>
    <t>10.04.2026</t>
  </si>
  <si>
    <t>ООО "Издательский Дом "Проф-Пресс"</t>
  </si>
  <si>
    <t>Номер</t>
  </si>
  <si>
    <t>Код</t>
  </si>
  <si>
    <t>Наименование</t>
  </si>
  <si>
    <t>ISBN</t>
  </si>
  <si>
    <t>Маркировка</t>
  </si>
  <si>
    <t>Текстовое описание</t>
  </si>
  <si>
    <t>Стандарт коробки</t>
  </si>
  <si>
    <t>Кол-во на складах</t>
  </si>
  <si>
    <t>Минимальный Заказ</t>
  </si>
  <si>
    <t>Цена</t>
  </si>
  <si>
    <t>ЗАКАЗ</t>
  </si>
  <si>
    <t>Сумма заказа</t>
  </si>
  <si>
    <t>Масса</t>
  </si>
  <si>
    <t>Объем</t>
  </si>
  <si>
    <t>Новинка</t>
  </si>
  <si>
    <t>Штрихкод</t>
  </si>
  <si>
    <t>Ставка НДС</t>
  </si>
  <si>
    <t>Авторы</t>
  </si>
  <si>
    <t>Видео Rutube</t>
  </si>
  <si>
    <t>Возрастные ограничения</t>
  </si>
  <si>
    <t>Дата тиража</t>
  </si>
  <si>
    <t>Жанр</t>
  </si>
  <si>
    <t>Картинка на сайте</t>
  </si>
  <si>
    <t>Количество страниц</t>
  </si>
  <si>
    <t>Отделка</t>
  </si>
  <si>
    <t>Переплет</t>
  </si>
  <si>
    <t>Плотность блока</t>
  </si>
  <si>
    <t>Подлежит маркировке Честный знак</t>
  </si>
  <si>
    <t>Пол</t>
  </si>
  <si>
    <t>Серия (доп. реквизит)</t>
  </si>
  <si>
    <t>Формат (строкой)</t>
  </si>
  <si>
    <t>07. Издательский Дом Проф-Пресс</t>
  </si>
  <si>
    <t xml:space="preserve"> CЕРИЯ: ТРЕНДХАУС</t>
  </si>
  <si>
    <t>КОМИКСЫ</t>
  </si>
  <si>
    <t>СЕРИЯ: ТРЕНДХАУС. КАПИБАРА И ГУСЬ, глянц.ламин, КБС, 165х240</t>
  </si>
  <si>
    <t>248949</t>
  </si>
  <si>
    <t>КНИЖКА-КОМИКС. ТРЕНДХАУС. Капибара и Гусь. Том 4. Приключения в Сочи. 165х240</t>
  </si>
  <si>
    <t>978-5-378-35482-5</t>
  </si>
  <si>
    <t>Преодолев сотни километров и столько же невероятных препятствий на пути к славе, Капи, Гусь и Чихуашка наконец могут позволить себе отдохнуть как настоящие звезды – в самом дорогом курортном городе России. Лучший сервис, изысканная еда и напитки, красивые люди... и чайки – все, что положено суперстарам по статусу! Главное – от счастья не потерять голову и последние деньги, иначе крутой отпуск закончится унылой дорогой домой на верхней боковушке в плацкартном вагоне. Все приключения знаменитых друзей в Сочи собраны в четвертой части нашего культового комикса!</t>
  </si>
  <si>
    <t>&gt;400</t>
  </si>
  <si>
    <t>9785378354825</t>
  </si>
  <si>
    <t>10%</t>
  </si>
  <si>
    <t>Голенко Маргарита Сергеевна</t>
  </si>
  <si>
    <t>ce6937667193e806ccde6bd70ab03e35</t>
  </si>
  <si>
    <t>0+</t>
  </si>
  <si>
    <t>глянцевая ламинация</t>
  </si>
  <si>
    <t>КБС (клеевое бесшовное скрепление)</t>
  </si>
  <si>
    <t>Не подлежит маркировке ЧЗ</t>
  </si>
  <si>
    <t>165х240х5</t>
  </si>
  <si>
    <t>251777</t>
  </si>
  <si>
    <t>КНИЖКА-КОМИКС. ТРЕНДХАУС. Капибара и Гусь. Том 5. История одного Гусика 165х240</t>
  </si>
  <si>
    <t>978-5-378-35544-0</t>
  </si>
  <si>
    <t>Жизнь Гусика всегда была полна неожиданных событий и крутых поворотов. До того как стать суперстаром, он служил в цирке воздушным гимнастом, силачом и акробатом. Работал «пекинской уткой» в азиатском ресторане и курьером в службе доставки. А потом совсем случайно попал в зоопарк Санкт-Петербурга и подумал, что наконец обрел покой и комфорт. Не тут-то было... Герой еле пережил соседство с суеверным верблюдом, слоном с нервным расстройством и назойливыми курами! Но за все свои страдания был сполна вознагражден судьбоносной встречей с Капи...</t>
  </si>
  <si>
    <t>9785378355440</t>
  </si>
  <si>
    <t>Русинова Евгения Александровна</t>
  </si>
  <si>
    <t>925c88b608d83f14f46bf9200fde170f</t>
  </si>
  <si>
    <t>254771</t>
  </si>
  <si>
    <t>КНИЖКА-КОМИКС. ТРЕНДХАУС. Капибара и Гусь. Том 6. Богатые Чихуашки тоже плачут</t>
  </si>
  <si>
    <t>978-5-378-35600-3</t>
  </si>
  <si>
    <t>За свой недолгий век Чихуашка сполна познала жизнь во всех ее красках. В раннем детстве она терпела тычки и унижения от братьев и сестер, но судьба смилостивилась и вознаградила бедняжку за все страдания. Заботливая хозяйка, благополучие и достаток, блеск и роскошь светского общества – что еще нужно, чтобы быть самой счастливой? И вот однажды привычный мир рухнул, оставив Чиху одну в огромном особняке среди страшных теней и зловещего воя сквозняка. И только теперь понятно, что все испытания вели ее к главному –  встрече с лучшими друзьями на свете Капи и Гусиком, вместе с которыми они покорят все звездные вершины.</t>
  </si>
  <si>
    <t>9785378356003</t>
  </si>
  <si>
    <t>8101a4e86d86aea9a3ef0524841625f5</t>
  </si>
  <si>
    <t>260205</t>
  </si>
  <si>
    <t>КНИЖКА-КОМИКС. ТРЕНДХАУС. Капибара и Гусь. Том 7. Капибарам на Руси жить хорошо</t>
  </si>
  <si>
    <t>978-5-378-35725-3</t>
  </si>
  <si>
    <t>Капи жил в Аргентине у эмигрантов Ивановых с самого детства, поэтому справедливо считал себя истинным русским: обожал борщ, сопереживал героям фильма «Любовь и голуби», бодро танцевал вприсядку. Однажды герой решил исполнить мечту приютившей его семьи (да что там - и свою тоже) и отправился в Россию. Его путь был полным невероятных приключений и испытаний... и вот он в Санкт-Петербурге, с новым другом Гусиком! Вместе они обязательно покорят все звёздные вершины.</t>
  </si>
  <si>
    <t>9785378357253</t>
  </si>
  <si>
    <t>2ab8ae1b9d3aa80ad99698cf8671e234</t>
  </si>
  <si>
    <t>264365</t>
  </si>
  <si>
    <t>КНИЖКА-КОМИКС. ТРЕНДХАУС. Капибара и Гусь. Том 8. Из князей в грязи. 165х240</t>
  </si>
  <si>
    <t>978-5-378-35833-5</t>
  </si>
  <si>
    <t>После головокружительного отпуска в Сочи легендарная троица вынуждена возвращаться в Москву в плацкартном вагоне, причём на нелегальном положении. Так как денег хватило только на один билет, пришлось прибегнуть к хитрости: Капи и Гусь замаскировались под одного пассажира, а Чихуашка выдала себя за другую собаку, пожелавшую отделаться от своей назойливой хозяйки и остаться на курорте. Но по дороге обман вскрылся и проводница выкинула их прямо на произвол судьбы, а точнее туда, где о прелестях и лоске столичной жизни могли только слышать по телевизору. В провинцию! Героям предстоит не просто выжить в непривычных для них условиях, но и как-то заработать на проезд домой. Однако с каждым днём сельский быт затягивал, а люди (и не только) становились всё роднее. А стоит ли рваться в шумный мегаполис, когда они и в деревне звёзды первой величины?</t>
  </si>
  <si>
    <t>9785378358335</t>
  </si>
  <si>
    <t>abc79f42f264f7d77aee3a7b22607c33</t>
  </si>
  <si>
    <t>СЕРИЯ: ТРЕНДХАУС. КАПИБАРА И ГУСЬ. КОЛЛЕКЦИОННОЕ ИЗДАНИЕ КОМИКСОВ глянц.лам 203х257</t>
  </si>
  <si>
    <t>267393</t>
  </si>
  <si>
    <t>ТРЕНДХАУС. КАПИБАРА И ГУСЬ. КОЛЛЕКЦИОННОЕ ИЗДАНИЕ КОМИКСОВ</t>
  </si>
  <si>
    <t>978-5-378-35924-0</t>
  </si>
  <si>
    <t>ТрендХаус представляет легендарный комикс КАПИБАРА и ГУСЬ теперь в подарочном издании. В сборник вошли четыре части невероятных приключений друзей и дополнительные материалы о любимых героях.</t>
  </si>
  <si>
    <t>НОВИНКА</t>
  </si>
  <si>
    <t>9785378359240</t>
  </si>
  <si>
    <t>Русинова Евгения Александровна, Голенко Маргарита</t>
  </si>
  <si>
    <t>4e5ef82ee55f94a16a50e91a7ae19b9a</t>
  </si>
  <si>
    <t>мат лам + выб лак + тиснение</t>
  </si>
  <si>
    <t>7БЦ</t>
  </si>
  <si>
    <t>203х257х25</t>
  </si>
  <si>
    <t>СЕРИЯ: ТРЕНДХАУС. КОМИКС-ЖУРНАЛ набор с игрушкой 195х276</t>
  </si>
  <si>
    <t>267395</t>
  </si>
  <si>
    <t>ТРЕНДХАУС. Капибара и Гусь. Комикс-журнал. Выпуск 1</t>
  </si>
  <si>
    <t>978-5-378-35932-5</t>
  </si>
  <si>
    <t>«Трендхаус» представляет! Крутые журналы «Капибара и Гусь»! Сразу три! Комиксы, рецепты, нескучные задания, гороскоп и ещё много-много всего интересного.
И-и-и... па-бам! С каждым журналом — джиббитс! Собери все, найди самый редкий!</t>
  </si>
  <si>
    <t>9785378359325</t>
  </si>
  <si>
    <t>22%</t>
  </si>
  <si>
    <t>c812462eb211d27160b694bc1d405141</t>
  </si>
  <si>
    <t>на скрепке</t>
  </si>
  <si>
    <t>195х276х10</t>
  </si>
  <si>
    <t>268484</t>
  </si>
  <si>
    <t>ТРЕНДХАУС. Капибара и Гусь. Комикс-журнал. Выпуск 2</t>
  </si>
  <si>
    <t>978-5-378-35946-2</t>
  </si>
  <si>
    <t>9785378359462</t>
  </si>
  <si>
    <t>ccd04f208dd2aa00d7cc6381e6ad69b2</t>
  </si>
  <si>
    <t>196х276х10</t>
  </si>
  <si>
    <t>268485</t>
  </si>
  <si>
    <t>ТРЕНДХАУС. Капибара и Гусь. Комикс-журнал. Выпуск 3</t>
  </si>
  <si>
    <t>978-5-378-35947-9</t>
  </si>
  <si>
    <t>9785378359479</t>
  </si>
  <si>
    <t>ebd1930e8adb4f4877f558134b7c3d74</t>
  </si>
  <si>
    <t>СЕРИЯ: ТРЕНДХАУС. НИНДЗЯ ИЛЮША, глянц.ламин, КБС, 165х240</t>
  </si>
  <si>
    <t>258284</t>
  </si>
  <si>
    <t>КНИЖКА-КОМИКС. ТРЕНДХАУС. НИНДЗЯ ИЛЮША. Том 1. Пробуждение силы</t>
  </si>
  <si>
    <t>978-5-378-35686-7</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</si>
  <si>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и самый злостный — консьержка Степанида Степановна, которая то и дело вредит обитателям подконтрольного ей пространства. Мальчик решает нейтрализовать бабулю и спасти мир, пусть пока и ограниченный территорией ЖК.
Всем разойтись, когда за дело берётся СУПЕРНИНДЗЯ ИЛЮША!</t>
  </si>
  <si>
    <t>9785378356867</t>
  </si>
  <si>
    <t>f929bfbc9a732cb85d9612b9e9302a77</t>
  </si>
  <si>
    <t>268540</t>
  </si>
  <si>
    <t>КНИЖКА-КОМИКС. ТРЕНДХАУС. НИНДЗЯ ИЛЮША. Том 2. Сокровища Бабая</t>
  </si>
  <si>
    <t>978-5-378-35944-8</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</si>
  <si>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На этот раз Илюше и его друзьям предстоит нейтрализовать местного дворника, яростного блюстителя чистоты и большого любителя всего блестящего. Враг будет повержен!</t>
  </si>
  <si>
    <t>9785378359448</t>
  </si>
  <si>
    <t>86ffd5830d01bfe46eb693cf7bfb237b</t>
  </si>
  <si>
    <t>СЕРИЯ: ТРЕНДХАУС. ЧАСТНЫЙ ДЕТЕКТИВ ЭРКЮЛЬ КОМАРОВ, глянц.ламин, 7БЦ, 170х220</t>
  </si>
  <si>
    <t>270077</t>
  </si>
  <si>
    <t>ТРЕНДХАУС. ЧАСТНЫЙ ДЕТЕКТИВ ЭРКЮЛЬ КОМАРОВ. Дело о пропавшей картине</t>
  </si>
  <si>
    <t>978-5-378-35987-5</t>
  </si>
  <si>
    <t>Частный детектив Эркюль Комаров начинает расследование! А помогать ему будет не по годам сообразительная дочь Агата и смышлёный шпиц Тайсон. Каким бы хитроумным ни был преступник, Эркюля Комарова ему не провести!</t>
  </si>
  <si>
    <t>9785378359875</t>
  </si>
  <si>
    <t>Брагинец Наталья Владимировна</t>
  </si>
  <si>
    <t>df609e52dcfad678d914f198cd2c047e</t>
  </si>
  <si>
    <t>170х220х10</t>
  </si>
  <si>
    <t>1. БРЕНДЫ</t>
  </si>
  <si>
    <t>CЕРИЯ: БРЕНДЫ. ЦК глянц.ламинация 200х260</t>
  </si>
  <si>
    <t>271647</t>
  </si>
  <si>
    <t>ЦК 200х260. АЗБУКА В СТИХАХ (Мастер Витя и Мотор)</t>
  </si>
  <si>
    <t>978-5-378-35969-1</t>
  </si>
  <si>
    <t>Учиться легко и весело с героями любимых мультфильмов «Синий трактор», «ТРИ КОТА», «Турбозавры», «Кошечки-собачки», «Цветняшки» и «Цып-Цып»! Новые книги на картоне увеличенного формата познакомят детей с алфавитом, разными машинами, помогут запомнить новые слова и понятия, а также научат определять и описывать свои эмоции и чувства. Крупные яркие иллюстрации обязательно понравятся малышам, а благодаря картонным страницам книга надолго сохранит аккуратный вид.</t>
  </si>
  <si>
    <t>9785378359691</t>
  </si>
  <si>
    <t>Брагинец Наталья</t>
  </si>
  <si>
    <t>2da4c0f498b81ead7893d63768fbbe97</t>
  </si>
  <si>
    <t>ЦК(Цельнокрытый картон)</t>
  </si>
  <si>
    <t>200х260х5</t>
  </si>
  <si>
    <t>271644</t>
  </si>
  <si>
    <t>ЦК 200х260. ВЕСЁЛЫЕ СТИХИ (Кошечки - собачки)</t>
  </si>
  <si>
    <t>978-5-378-35967-7</t>
  </si>
  <si>
    <t>9785378359677</t>
  </si>
  <si>
    <t>Брагинец Наталья, Купырина Анна Михайловна</t>
  </si>
  <si>
    <t>f851c016859835435e8ecad9fcb8882e</t>
  </si>
  <si>
    <t>271648</t>
  </si>
  <si>
    <t>ЦК 200х260. ПЕРВАЯ КНИГА МАЛЫША (Три кота)</t>
  </si>
  <si>
    <t>978-5-378-35970-7</t>
  </si>
  <si>
    <t>9785378359707</t>
  </si>
  <si>
    <t>e3202ab349fdd2aa0ccf6d0364dcdd18</t>
  </si>
  <si>
    <t>271649</t>
  </si>
  <si>
    <t>ЦК 200х260. ПЕРВЫЕ СЛОВА (Цып-Цып)</t>
  </si>
  <si>
    <t>978-5-378-35971-4</t>
  </si>
  <si>
    <t>9785378359714</t>
  </si>
  <si>
    <t>Купырина Анна Михайловна</t>
  </si>
  <si>
    <t>cd12190fe051a0209284a732fa06a2a8</t>
  </si>
  <si>
    <t>271646</t>
  </si>
  <si>
    <t>ЦК 200х260. ТРАНСПОРТ (Турбозавры)</t>
  </si>
  <si>
    <t>978-5-378-35968-4</t>
  </si>
  <si>
    <t>9785378359684</t>
  </si>
  <si>
    <t>e839ed3aa01f347c5c74e7ca94ebd73e</t>
  </si>
  <si>
    <t>271652</t>
  </si>
  <si>
    <t>ЦК 200х260. ЭМОЦИИ И ЧУВСТВА (Цветняшки)</t>
  </si>
  <si>
    <t>978-5-378-35972-1</t>
  </si>
  <si>
    <t>9785378359721</t>
  </si>
  <si>
    <t>52a07b1660172c8d3128f754534b1fec</t>
  </si>
  <si>
    <t>CЕРИЯ: ЦК С ВЫРУБКОЙ глянц.ламин. 160х220</t>
  </si>
  <si>
    <t>264373</t>
  </si>
  <si>
    <t>ЦК С ВЫРУБКОЙ. Весёлые деньки (Три кота)</t>
  </si>
  <si>
    <t>978-5-378-35791-8</t>
  </si>
  <si>
    <t>Представляем новую серию книг на картоне с вырубкой, которая создана для маленьких читателей. На страницах с красочными иллюстрациями и любимыми героями мультфильмов и комиксов их ждут знакомства с алфавитом и счётом, с цветами и формами, с хорошими манерами и фактами о животных, а так же другими важными и интересными темами. Читайте ребёнку, объясняйте значения, и со временем ваш малыш сам начнёт произносить слова, рассказывать об изображенных ситуациях и задавать много-много вопросов. Даже если малыш еще не умеет говорить, ему очень понравится играть с книгой и возвращаться к ней снова и снова. Благодаря толстому картону, устойчивому к повреждениям, книга прослужит долго и займет достойное место в библиотеке малыша.</t>
  </si>
  <si>
    <t>9785378357918</t>
  </si>
  <si>
    <t>5a2eb3df9025978f6c5202544a8411f3</t>
  </si>
  <si>
    <t>157х220х5</t>
  </si>
  <si>
    <t>264379</t>
  </si>
  <si>
    <t>ЦК С ВЫРУБКОЙ. Кто как говорит? (Кошечки-Собачки)</t>
  </si>
  <si>
    <t>978-5-378-35794-9</t>
  </si>
  <si>
    <t>9785378357949</t>
  </si>
  <si>
    <t>e4db3d5dbc6f6c1c2c18dc04adece426</t>
  </si>
  <si>
    <t>264378</t>
  </si>
  <si>
    <t>ЦК С ВЫРУБКОЙ. Мир вокруг (Турбозавры)</t>
  </si>
  <si>
    <t>978-5-378-35793-2</t>
  </si>
  <si>
    <t>9785378357932</t>
  </si>
  <si>
    <t>88069897c72f665281b72fce25f51a72</t>
  </si>
  <si>
    <t>264381</t>
  </si>
  <si>
    <t>ЦК С ВЫРУБКОЙ. Учим буквы с Капибарой</t>
  </si>
  <si>
    <t>978-5-378-35796-3</t>
  </si>
  <si>
    <t>9785378357963</t>
  </si>
  <si>
    <t>d76fdced9fea0949825c4aa6db1a0dfe</t>
  </si>
  <si>
    <t>264382</t>
  </si>
  <si>
    <t>ЦК С ВЫРУБКОЙ. Учим счёт (Синий трактор)</t>
  </si>
  <si>
    <t>978-5-378-35797-0</t>
  </si>
  <si>
    <t>9785378357970</t>
  </si>
  <si>
    <t>0f04fbbdee2d7ca981054b09f36a4da9</t>
  </si>
  <si>
    <t>264376</t>
  </si>
  <si>
    <t>ЦК С ВЫРУБКОЙ. Учим формы (Цветняшки)</t>
  </si>
  <si>
    <t>978-5-378-35792-5</t>
  </si>
  <si>
    <t>9785378357925</t>
  </si>
  <si>
    <t>bacac2a99b22e4b4db4502996b985a3b</t>
  </si>
  <si>
    <t>264383</t>
  </si>
  <si>
    <t>ЦК С ВЫРУБКОЙ. Учим цвета (СУПЕРМЯУ)</t>
  </si>
  <si>
    <t>978-5-378-35798-7</t>
  </si>
  <si>
    <t>9785378357987</t>
  </si>
  <si>
    <t>905632bd9b8d9d07e73da90aae6d464f</t>
  </si>
  <si>
    <t>264380</t>
  </si>
  <si>
    <t>ЦК С ВЫРУБКОЙ. Хорошие манеры (Ми-ми-мишки)</t>
  </si>
  <si>
    <t>978-5-378-35795-6</t>
  </si>
  <si>
    <t>9785378357956</t>
  </si>
  <si>
    <t>e919bb9807ab0320e722dec7016a05fc</t>
  </si>
  <si>
    <t>СЕРИЯ: БРЕНДЫ. КНИГИ НА КАРТОНЕ на гребне 145х145</t>
  </si>
  <si>
    <t>261447</t>
  </si>
  <si>
    <t>КНИГИ НА КАРТОНЕ на гребне 145х145. АЗБУКА. Три кота</t>
  </si>
  <si>
    <t>978-5-378-35744-4</t>
  </si>
  <si>
    <t>Учиться легко и весело с героями любимых мультфильмов «ТРИ КОТА», «Турбозавры», «Кошечки-собачки» и «Синий трактор»! Новые яркие книги на гребне познакомят детей с буквами, цифрами, цветами и разными видами транспорта. Благодаря небольшому формату малышам будет удобно держать и листать книгу, а плотный картон и глянцевая ламинация всех страниц позволят надолго сохранить аккуратный вид и сочные цвета.</t>
  </si>
  <si>
    <t>9785378357444</t>
  </si>
  <si>
    <t>60c48d4edc95676ac320515975770c49</t>
  </si>
  <si>
    <t>на гребне</t>
  </si>
  <si>
    <t>148х144х10</t>
  </si>
  <si>
    <t>261449</t>
  </si>
  <si>
    <t>КНИГИ НА КАРТОНЕ на гребне 145х145. СЧЁТ. Турбозавры</t>
  </si>
  <si>
    <t>978-5-378-35746-8</t>
  </si>
  <si>
    <t>9785378357468</t>
  </si>
  <si>
    <t>ca83963666578446690a425839b50d46</t>
  </si>
  <si>
    <t>261448</t>
  </si>
  <si>
    <t>КНИГИ НА КАРТОНЕ на гребне 145х145. ЦВЕТА. Кошечки-собачки</t>
  </si>
  <si>
    <t>978-5-378-35745-1</t>
  </si>
  <si>
    <t>9785378357451</t>
  </si>
  <si>
    <t>48e107726d898bbbe5cd5614d228ab15</t>
  </si>
  <si>
    <t>СЕРИЯ: КОШЕЧКИ-СОБАЧКИ</t>
  </si>
  <si>
    <t>СЕРИЯ: КОШЕЧКИ-СОБАЧКИ. ПРОПИСИ для МАЛЫШЕЙ глянц.ламин. 195х276</t>
  </si>
  <si>
    <t>158837</t>
  </si>
  <si>
    <t>КОШЕЧКИ-СОБАЧКИ. ПРОПИСИ для МАЛЫШЕЙ. ВЕСЁЛЫЕ РИСУНКИ</t>
  </si>
  <si>
    <t>978-5-378-31464-5</t>
  </si>
  <si>
    <t>Встречайте новые яркие и полезные прописи "Кошечки-собачки"! Они научат малышей рисовать различные фигуры и весёлые картинки. В игровой форме ваш ребёнок сможет развить мелкую моторику и подготовиться к письму. Цветные иллюстрации с героями любимого мультфильма превратят занятия в увлекательное развлечение.</t>
  </si>
  <si>
    <t>9785378314645</t>
  </si>
  <si>
    <t>195х275х2</t>
  </si>
  <si>
    <t>158839</t>
  </si>
  <si>
    <t>КОШЕЧКИ-СОБАЧКИ. ПРОПИСИ для МАЛЫШЕЙ. ДЛЯ МАЛЬЧИКОВ</t>
  </si>
  <si>
    <t>978-5-378-31466-9</t>
  </si>
  <si>
    <t>9785378314669</t>
  </si>
  <si>
    <t>158840</t>
  </si>
  <si>
    <t>КОШЕЧКИ-СОБАЧКИ. ПРОПИСИ для МАЛЫШЕЙ. ПЕРВЫЕ КАРТИНКИ</t>
  </si>
  <si>
    <t>978-5-378-31467-6</t>
  </si>
  <si>
    <t>9785378314676</t>
  </si>
  <si>
    <t>СЕРИЯ: МИ-МИ-МИШКИ</t>
  </si>
  <si>
    <t>069366</t>
  </si>
  <si>
    <t>Вырубка А4. МИ-МИ-МИШКИ. ЖИВОТНЫЙ МИР</t>
  </si>
  <si>
    <t>978-5-378-27696-7</t>
  </si>
  <si>
    <t>Страницы этой красочной книжки большого формата откроют ребёнку удивительный мир животных. Живые, натуралистичные картинки, интересные факты и, главное, любимые озорные герои мультфильма Ми-ми-мишки увлекут вашего любознательного малыша, сделают процесс изучения лёгким и нескучным!</t>
  </si>
  <si>
    <t>9785378276967</t>
  </si>
  <si>
    <t>23.04.2018 0:00:00</t>
  </si>
  <si>
    <t>Вырубка на картоне Ми-ми-мишки</t>
  </si>
  <si>
    <t>210х275х5</t>
  </si>
  <si>
    <t>СЕРИЯ: МИ-МИ-МИШКИ. ПРОПИСИ ДЛЯ ДОШКОЛЯТ с наклейками 195х275</t>
  </si>
  <si>
    <t>065408</t>
  </si>
  <si>
    <t>МИ-МИ-МИШКИ. ПРОПИСИ ДЛЯ ДОШКОЛЯТ с наклейками. ГОТОВИМ РУКУ К ПИСЬМУ</t>
  </si>
  <si>
    <t>978-5-378-27386-7</t>
  </si>
  <si>
    <t>Новая серия "Прописи для дошколят" с наклейками поможет малышам подготовить руку к письму и научиться писать буквы и цифры. Учиться с Ми-ми-мишками весело и интересно!</t>
  </si>
  <si>
    <t>МАЛО</t>
  </si>
  <si>
    <t>9785378273867</t>
  </si>
  <si>
    <t>29.05.2017 0:00:00</t>
  </si>
  <si>
    <t>Прописи для дошколят с наклейками.</t>
  </si>
  <si>
    <t>065410</t>
  </si>
  <si>
    <t>МИ-МИ-МИШКИ. ПРОПИСИ ДЛЯ ДОШКОЛЯТ с наклейками. ПИШЕМ ЦИФРЫ</t>
  </si>
  <si>
    <t>978-5-378-27388-1</t>
  </si>
  <si>
    <t>9785378273881</t>
  </si>
  <si>
    <t>065411</t>
  </si>
  <si>
    <t>МИ-МИ-МИШКИ. ПРОПИСИ ДЛЯ ДОШКОЛЯТ с наклейками. РИСУЕМ УЗОРЫ</t>
  </si>
  <si>
    <t>978-5-378-27389-8</t>
  </si>
  <si>
    <t>9785378273898</t>
  </si>
  <si>
    <t>СЕРИЯ: СИНИЙ ТРАКТОР</t>
  </si>
  <si>
    <t>CЕРИЯ: СИНИЙ ТРАКТОР. ПОСТРАНИЧНАЯ ВЫРУБКА 150х150</t>
  </si>
  <si>
    <t>240127</t>
  </si>
  <si>
    <t>СИНИЙ ТРАКТОР. ПОСТРАНИЧНАЯ ВЫРУБКА. Домашние животные</t>
  </si>
  <si>
    <t>978-5-378-35186-2</t>
  </si>
  <si>
    <t>Новинка! Постраничные вырубки СИНИЙ ТРАКТОР на самые популярные темы: домашние животные, полезные машинки, цвета и счёт. Яркие иллюстрации и забавные стихи сделают чтение весёлым и увлекательным, а благодаря постраничной вырубке малышам будет интересно рассматривать странички снова и снова. Маленький формат позволит взять книжку с собой, чтобы занять малыша в дороге.</t>
  </si>
  <si>
    <t>9785378351862</t>
  </si>
  <si>
    <t>Громова Людмила Александровна</t>
  </si>
  <si>
    <t>c20664f6435e4a2f647cd98291a2bacb</t>
  </si>
  <si>
    <t>147х150х6</t>
  </si>
  <si>
    <t>240128</t>
  </si>
  <si>
    <t>СИНИЙ ТРАКТОР. ПОСТРАНИЧНАЯ ВЫРУБКА. Полезные машинки</t>
  </si>
  <si>
    <t>978-5-378-35187-9</t>
  </si>
  <si>
    <t>9785378351879</t>
  </si>
  <si>
    <t>d93e98239bf59d1fa89ad8606b228ca0</t>
  </si>
  <si>
    <t>240129</t>
  </si>
  <si>
    <t>СИНИЙ ТРАКТОР. ПОСТРАНИЧНАЯ ВЫРУБКА. Счёт</t>
  </si>
  <si>
    <t>978-5-378-35188-6</t>
  </si>
  <si>
    <t>9785378351886</t>
  </si>
  <si>
    <t>f219f7f733e2a2f277d5b9786d12b194</t>
  </si>
  <si>
    <t>240131</t>
  </si>
  <si>
    <t>СИНИЙ ТРАКТОР. ПОСТРАНИЧНАЯ ВЫРУБКА. Цвета</t>
  </si>
  <si>
    <t>978-5-378-35189-3</t>
  </si>
  <si>
    <t>9785378351893</t>
  </si>
  <si>
    <t>2bdcea77b473dd7c2cc793d87cfebb7a</t>
  </si>
  <si>
    <t>СЕРИЯ: СИНИЙ ТРАКТОР. 7БЦ глянц.ламин, кругл.углы, офсет 170х220</t>
  </si>
  <si>
    <t>253346</t>
  </si>
  <si>
    <t>СИНИЙ ТРАКТОР. 7БЦ. 500 ПЕРВЫХ СЛОВ МАЛЫША</t>
  </si>
  <si>
    <t>978-5-378-35543-3</t>
  </si>
  <si>
    <t>Дорогой читатель! Ты держишь в руках книгу, которая поможет развить словарный запас и интерес к окружающему миру, познакомит с цветами и счётом, живой и неживой природой, транспортом и предметами быта, профессиями и многими другими темами. Учитесь вместе с любимыми героями мультфильма «Синий Трактор»!</t>
  </si>
  <si>
    <t>9785378355433</t>
  </si>
  <si>
    <t>под ред. Черкашина Александра</t>
  </si>
  <si>
    <t>62f01bd0a7a949b06963354ccc8cc0c0</t>
  </si>
  <si>
    <t>170x220x8</t>
  </si>
  <si>
    <t>245242</t>
  </si>
  <si>
    <t>СИНИЙ ТРАКТОР. 7БЦ. ВЕСЁЛЫЕ ПЕСЕНКИ И ИСТОРИИ</t>
  </si>
  <si>
    <t>978-5-378-35339-2</t>
  </si>
  <si>
    <t>На страницах этой книги малыши и их родители найдут хорошо знакомые песенки из мультфильма, а также новые истории о необычных приключениях Синего Трактора. Читайте и подпевайте вместе с любимыми героями!</t>
  </si>
  <si>
    <t>9785378353392</t>
  </si>
  <si>
    <t>Васягина Веста Анатольевна</t>
  </si>
  <si>
    <t>78310dec859bcd6c8819d55080de2423</t>
  </si>
  <si>
    <t>25.12.2024 0:00:00</t>
  </si>
  <si>
    <t>170x220x9</t>
  </si>
  <si>
    <t>245239</t>
  </si>
  <si>
    <t>СИНИЙ ТРАКТОР. 7БЦ. МОИ ЛЮБИМЫЕ СКАЗКИ</t>
  </si>
  <si>
    <t>978-5-378-35336-1</t>
  </si>
  <si>
    <t>На страницах этой книги малыши и их родители найдут хорошо знакомые сказки, а также увлекательные задания от Синего Трактора. Читайте, размышляйте и отвечайте на вопросы вместе с любимыми героями!</t>
  </si>
  <si>
    <t>9785378353361</t>
  </si>
  <si>
    <t>под ред.Брагинец Наталья</t>
  </si>
  <si>
    <t>f73c25f83f629100a538d9e25bd68524</t>
  </si>
  <si>
    <t>13.01.2025 0:00:00</t>
  </si>
  <si>
    <t>245241</t>
  </si>
  <si>
    <t>СИНИЙ ТРАКТОР. 7БЦ. МОЯ ПЕРВАЯ ЭНЦИКЛОПЕДИЯ</t>
  </si>
  <si>
    <t>978-5-378-35338-5</t>
  </si>
  <si>
    <t>Учиться с любимыми героями мультфильма «Синий Трактор» весело и увлекательно! Скорее открывай книгу и каждый день узнавай что-то новое и интересное о животных, транспорте, профессиях и многом другом.</t>
  </si>
  <si>
    <t>9785378353385</t>
  </si>
  <si>
    <t>под ред. Брагинец Наталья</t>
  </si>
  <si>
    <t>1797d0b6737b402d1de963892ff6a035</t>
  </si>
  <si>
    <t>245240</t>
  </si>
  <si>
    <t>СИНИЙ ТРАКТОР. 7БЦ. ПЕРВАЯ КНИГА МАЛЫША</t>
  </si>
  <si>
    <t>978-5-378-35337-8</t>
  </si>
  <si>
    <t>Учиться с любимыми героями мультфильма «Синий Трактор» весело и увлекательно! Скорее открывай книгу и каждый день узнавай новые слова: названия животных и растений, разных видов транспорта, предметов одежды и многое другое.</t>
  </si>
  <si>
    <t>9785378353378</t>
  </si>
  <si>
    <t>ред. Брагинец Наталья</t>
  </si>
  <si>
    <t>3ad1812849b0ae220205971d962cda92</t>
  </si>
  <si>
    <t>СЕРИЯ: СИНИЙ ТРАКТОР. 7БЦ глянц.ламин, офсет 203х257</t>
  </si>
  <si>
    <t>263054</t>
  </si>
  <si>
    <t>СИНИЙ ТРАКТОР. 7БЦ. ВСЕ ПЕСЕНКИ СИНЕГО ТРАКТОРА</t>
  </si>
  <si>
    <t>978-5-378-35769-7</t>
  </si>
  <si>
    <t>На страницах этой книги малышей ждут весёлые и познавательные песенки про цвета и цифры, животных и птиц, фрукты, овощи, транспорт и многое другое. Читайте и подпевайте вместе с Синим Трактором, профессором, забавными зверятами и машинками из любимого мультфильма!</t>
  </si>
  <si>
    <t>9785378357697</t>
  </si>
  <si>
    <t>817adec89ec7892877e62ea95a1f4305</t>
  </si>
  <si>
    <t>203х256х15</t>
  </si>
  <si>
    <t>СЕРИЯ: СИНИЙ ТРАКТОР. ПЕРВЫЙ КОМИКС глянц.ламин, офсет 170х220</t>
  </si>
  <si>
    <t>256217</t>
  </si>
  <si>
    <t>ПЕРВЫЙ КОМИКС. Весёлые приключения Синего Трактора</t>
  </si>
  <si>
    <t>978-5-378-35638-6</t>
  </si>
  <si>
    <t xml:space="preserve">«Первые комиксы» созданы для малышей, которые только начинают знакомство с увлекательным миром книг. Читайте вместе с детьми добрые и весёлые истории в картинках о приключениях синего трактора и его друзей. Любимые герои, забавные иллюстрации и простые тексты помогут заинтересовать чтением маленьких непосед. </t>
  </si>
  <si>
    <t>9785378356386</t>
  </si>
  <si>
    <t>адаптация Васягиной Весты Анатольевны</t>
  </si>
  <si>
    <t>74739cc543c37b9872d3bbd14574f03d</t>
  </si>
  <si>
    <t>170х220х6</t>
  </si>
  <si>
    <t>СЕРИЯ: ТРИ КОТА</t>
  </si>
  <si>
    <t>СЕРИЯ: ТРИ КОТА. ЦК 145х145</t>
  </si>
  <si>
    <t>056866</t>
  </si>
  <si>
    <t>ТРИ КОТА. ЦК. УЧИМ ЦВЕТА</t>
  </si>
  <si>
    <t>978-5-378-27046-0</t>
  </si>
  <si>
    <t>Встречайте лицензионную продукцию под брендом "Три кота"!В новой серии обучающих книг для самых маленьких весёлые котята Коржик,Карамелька и Компот помогут малышам познакомиться с цифрами,буквами,цветами и формами.</t>
  </si>
  <si>
    <t>9785378270460</t>
  </si>
  <si>
    <t>02.02.2018 0:00:00</t>
  </si>
  <si>
    <t>Книги на картоне (цельнокрытые) Три кота</t>
  </si>
  <si>
    <t>145х145х6</t>
  </si>
  <si>
    <t>2. МАКСИ-РАСКРАСКИ</t>
  </si>
  <si>
    <t>CEРИЯ: МАКСИ-РАСКРАСКА с наклейками, перфорация 340х485 (бумага 100гр)</t>
  </si>
  <si>
    <t>201325</t>
  </si>
  <si>
    <t>МАКСИ-РАСКРАСКА с наклейками. КОТИКИ И СОБАЧКИ</t>
  </si>
  <si>
    <t>978-5-378-34213-6</t>
  </si>
  <si>
    <t>Новые MAXI-раскраски стали ещё лучше! Ведь теперь в них есть ещё и MAXI-наклейки! Яркие обложки, интересные сюжеты и милые персонажи вызовут восторг у ребёнка. А благодаря перфорированным листам и твёрдой основе раскраска очень удобна в использовании.</t>
  </si>
  <si>
    <t>&gt;120</t>
  </si>
  <si>
    <t>9785378342136</t>
  </si>
  <si>
    <t>340х485х5</t>
  </si>
  <si>
    <t>CEРИЯ: МАКСИ-РАСКРАСКА с перфорацией 325х485 (бумага 100гр)</t>
  </si>
  <si>
    <t>190390</t>
  </si>
  <si>
    <t>МАКСИ-ПОСТЕР. ТРИ КОТА И МОРЕ ПРИКЛЮЧЕНИЙ</t>
  </si>
  <si>
    <t>978-5-378-33905-1</t>
  </si>
  <si>
    <t xml:space="preserve">Премьера сезона! Представляем новую MAXI-раскраску с сюжетами из полнометражного фильма «Три кота и море приключений»: окунись в лето вместе с Компотом, Коржиком и Карамелькой! Размер имеет значение, ведь самым юным художникам проще раскрашивать крупные элементы. Кроме того, благодаря твердой основе удобно творить даже на полу, а еще, чтобы картину легко было вырвать, а после украсить ею комнату или подарить, у основания листа предусмотрена перфорация. </t>
  </si>
  <si>
    <t>9785378339051</t>
  </si>
  <si>
    <t>Макси-раскраска 340х485</t>
  </si>
  <si>
    <t>121996</t>
  </si>
  <si>
    <t>МАКСИ-ПОСТЕР. ТРИ КОТА. ЛЕТО</t>
  </si>
  <si>
    <t>978-5-378-29283-7</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</si>
  <si>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</si>
  <si>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9785378292837</t>
  </si>
  <si>
    <t>173054</t>
  </si>
  <si>
    <t>МАКСИ-РАСКРАСКА. БОЛЬШИЕ МАШИНЫ</t>
  </si>
  <si>
    <t>978-5-378-32403-3</t>
  </si>
  <si>
    <t>На страницах новой MAXI-раскраски мальчишек ждут самые разные большие машины: трактор, лесовоз, автовышка, внедорожник и многие другие!  Крупные иллюстрации деталей точно понравятся юным художникам! Благодаря перфорированным листам и твёрдой основе раскраска очень удобна в использовании.</t>
  </si>
  <si>
    <t>9785378324033</t>
  </si>
  <si>
    <t>233223</t>
  </si>
  <si>
    <t>МАКСИ-РАСКРАСКА. В МИРЕ ВОЛШЕБНИКОВ</t>
  </si>
  <si>
    <t>978-5-378-34885-5</t>
  </si>
  <si>
    <t>9785378348855</t>
  </si>
  <si>
    <t>078236</t>
  </si>
  <si>
    <t>МАКСИ-РАСКРАСКА. ДИНОЗАВРЫ</t>
  </si>
  <si>
    <t>978-5-378-28113-8</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</si>
  <si>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</si>
  <si>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9785378281138</t>
  </si>
  <si>
    <t>17.04.2018 0:00:00</t>
  </si>
  <si>
    <t>218655</t>
  </si>
  <si>
    <t>МАКСИ-РАСКРАСКА. ДОМАШНИЕ ЖИВОТНЫЕ</t>
  </si>
  <si>
    <t>978-5-378-34529-8</t>
  </si>
  <si>
    <t>9785378345298</t>
  </si>
  <si>
    <t>201343</t>
  </si>
  <si>
    <t>МАКСИ-РАСКРАСКА. ЧУДЕСНЫЕ ПРИНЦЕССЫ</t>
  </si>
  <si>
    <t>978-5-378-34210-5</t>
  </si>
  <si>
    <t>Вниманию родителей юных художниц! Представляем новую макси-раскраску «Чудесные принцессы»! Прелестные героини, великолепные наряды и волшебный антураж не оставят равнодушной ни одну девчонку! Благодаря твердой основе удобно творить даже на полу, а еще легко отделить рисунок, аккуратно вырвав лист по линии перфорации.</t>
  </si>
  <si>
    <t xml:space="preserve">9785378342105 </t>
  </si>
  <si>
    <t>CЕРИЯ: ВОДНАЯ МАКСИ-РАСКРАСКА 340х485 (бумага 160гр)</t>
  </si>
  <si>
    <t>200918</t>
  </si>
  <si>
    <t>ВОДНАЯ МАКСИ-РАСКРАСКА. ДИНОЗАВРЫ</t>
  </si>
  <si>
    <t>978-5-378-34190-0</t>
  </si>
  <si>
    <t>Необычные водные раскраски увеличенного формата станут отличным сюрпризом для малышей. Для раскрашивания не нужны карандаши и гуашь. Достаточно окунуть кисточку в воду, провести по странице, и она преобразится яркими цветами. Благодаря высокой плотности листов, бумага не размокнет. Иллюстрации находятся с одной стороны листа, а перфорация позволит аккуратно оторвать страницу, чтобы повесить детский рисунок как картину.</t>
  </si>
  <si>
    <t>9785378341900</t>
  </si>
  <si>
    <t>340х485х4</t>
  </si>
  <si>
    <t>248073</t>
  </si>
  <si>
    <t>ВОДНАЯ МАКСИ-РАСКРАСКА. КОШЕЧКИ-СОБАЧКИ</t>
  </si>
  <si>
    <t>978-5-378-35462-7</t>
  </si>
  <si>
    <t>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t>
  </si>
  <si>
    <t>9785378354627</t>
  </si>
  <si>
    <t>230518</t>
  </si>
  <si>
    <t>ВОДНАЯ МАКСИ-РАСКРАСКА. МИ-МИ-МИШКИ</t>
  </si>
  <si>
    <t>978-5-378-34769-8</t>
  </si>
  <si>
    <t>9785378347698</t>
  </si>
  <si>
    <t>230519</t>
  </si>
  <si>
    <t>ВОДНАЯ МАКСИ-РАСКРАСКА. НОВЫЙ ГОД</t>
  </si>
  <si>
    <t>978-5-378-34754-4</t>
  </si>
  <si>
    <t>9785378347544</t>
  </si>
  <si>
    <t>226112</t>
  </si>
  <si>
    <t>ВОДНАЯ МАКСИ-РАСКРАСКА. СИНИЙ ТРАКТОР</t>
  </si>
  <si>
    <t>978-5-378-34697-4</t>
  </si>
  <si>
    <t>Представляем новую раскраску с героями популярного мультсериала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</si>
  <si>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9785378346974</t>
  </si>
  <si>
    <t>200917</t>
  </si>
  <si>
    <t>ВОДНАЯ МАКСИ-РАСКРАСКА. ТРАНСПОРТ</t>
  </si>
  <si>
    <t>978-5-378-34189-4</t>
  </si>
  <si>
    <t>9785378341894</t>
  </si>
  <si>
    <t>264369</t>
  </si>
  <si>
    <t>ВОДНАЯ МАКСИ-РАСКРАСКА. ЦВЕТНЯШКИ</t>
  </si>
  <si>
    <t>978-5-378-35827-4</t>
  </si>
  <si>
    <t>Представляем новую раскраску с героями популярного мультсериала «Цветняшки». Карандаши, фломастеры и краски – в сторону! Возьми стакан с водой, намочи кисточку и проведи ею по листу – ты увидишь, как оживают картинки!</t>
  </si>
  <si>
    <t>9785378358274</t>
  </si>
  <si>
    <t>CЕРИЯ: КАРТИНЫ ПО НОМЕРАМ альбом, мат.ламин. 400х322 (бумага 150гр)</t>
  </si>
  <si>
    <t>169863</t>
  </si>
  <si>
    <t>КАРТИНЫ ПО НОМЕРАМ. ВДОХНОВЕНИЕ</t>
  </si>
  <si>
    <t>978-5-378-32065-3</t>
  </si>
  <si>
    <t>С картинами для раскрашивания по номерам время пролетит незаметно! Процесс подбора цветов, смешивания красок, концентрация на творчестве позволит вам отвлечься от повседневных забот, суеты и окунуться в мир прекрасного. Плотные белые листы с перфорацией, разнообразные сюжеты, отличное качество печати – всё это делает покупку очень приятной.</t>
  </si>
  <si>
    <t>9785378320653</t>
  </si>
  <si>
    <t>400x322x5</t>
  </si>
  <si>
    <t>169862</t>
  </si>
  <si>
    <t>КАРТИНЫ ПО НОМЕРАМ. ЖИВОТНЫЕ</t>
  </si>
  <si>
    <t>978-5-378-32064-6</t>
  </si>
  <si>
    <t>9785378320646</t>
  </si>
  <si>
    <t>206294</t>
  </si>
  <si>
    <t>КАРТИНЫ ПО НОМЕРАМ. МИРОВЫЕ ШЕДЕВРЫ</t>
  </si>
  <si>
    <t>978-5-378-34277-8</t>
  </si>
  <si>
    <t>9785378342778</t>
  </si>
  <si>
    <t>208714</t>
  </si>
  <si>
    <t>КАРТИНЫ ПО НОМЕРАМ. РОМАНТИКА</t>
  </si>
  <si>
    <t>978-5-378-34346-1</t>
  </si>
  <si>
    <t xml:space="preserve">9785378343461 </t>
  </si>
  <si>
    <t>16+</t>
  </si>
  <si>
    <t>3. ВСЕЛЕННАЯ ГЕРОЕВ ПРОФ-ПРЕССА</t>
  </si>
  <si>
    <t>Динозаврик Макс</t>
  </si>
  <si>
    <t>CЕРИЯ: ПОДЕЛКИ с динозавриком МАКСОМ картон.обл, глянц.ламин. 195х276</t>
  </si>
  <si>
    <t>201357</t>
  </si>
  <si>
    <t>ПОДЕЛКИ с динозавриком МАКСОМ. ПОДЕЛКИ К ПРАЗДНИКАМ</t>
  </si>
  <si>
    <t>978-5-378-34170-2</t>
  </si>
  <si>
    <t>Поделки своими руками – это прекрасная возможность провести время всей семьёй за интересным занятием. В этой серии динозаврик Макс поделится идеями поделок разной сложности и из разных материалов – цветной бумаги, пластилина, природных и подручных материалов. В компании друзей или в кругу семьи ребёнок
сможет не только повторить поделки, следуя подсказкам Максика,
но и применить идеи где-то ещё, проявив творчество, воображение,
пространственное мышление и фантазию!</t>
  </si>
  <si>
    <t>9785378341702</t>
  </si>
  <si>
    <t>195х276х2</t>
  </si>
  <si>
    <t>201358</t>
  </si>
  <si>
    <t>ПОДЕЛКИ с динозавриком МАКСОМ. ПОДЕЛКИ КРУГЛЫЙ ГОД</t>
  </si>
  <si>
    <t>978-5-378-34171-9</t>
  </si>
  <si>
    <t>9785378341719</t>
  </si>
  <si>
    <t>CЕРИЯ: ПРОПИСИ с динозавриком МАКСОМ картон.обл, глянц.ламин. 195х276</t>
  </si>
  <si>
    <t>190344</t>
  </si>
  <si>
    <t>ПРОПИСИ с динозавриком Максом. ГОТОВИМ РУКУ К ПИСЬМУ</t>
  </si>
  <si>
    <t>978-5-378-33859-7</t>
  </si>
  <si>
    <t>Новая серия прописей для малышей с забавным динозавриком Максом поможет подготовить руку к письму. Палочки, крючочки, картинки, буквы и цифры... и яркие герои. Скучать точно не придётся!</t>
  </si>
  <si>
    <t>9785378338597</t>
  </si>
  <si>
    <t>190345</t>
  </si>
  <si>
    <t>ПРОПИСИ с динозавриком Максом. ПИШЕМ БУКВЫ И ЦИФРЫ</t>
  </si>
  <si>
    <t>978-5-378-33860-3</t>
  </si>
  <si>
    <t>9785378338603</t>
  </si>
  <si>
    <t>190342</t>
  </si>
  <si>
    <t>ПРОПИСИ с динозавриком Максом. РИСУЕМ УЗОРЫ И ФИГУРЫ</t>
  </si>
  <si>
    <t>978-5-378-33857-3</t>
  </si>
  <si>
    <t>9785378338573</t>
  </si>
  <si>
    <t>190343</t>
  </si>
  <si>
    <t>ПРОПИСИ с динозавриком Максом. УЧИМСЯ ОБВОДИТЬ</t>
  </si>
  <si>
    <t>978-5-378-33858-0</t>
  </si>
  <si>
    <t>9785378338580</t>
  </si>
  <si>
    <t>СЕРИЯ: УМНЫЕ РАСКРАСКИ С ДИНОЗАВРИКОМ МАКСОМ  глянц.ламин, картон.обл 195х276</t>
  </si>
  <si>
    <t>193299</t>
  </si>
  <si>
    <t>УМНЫЕ РАСКРАСКИ С ДИНОЗАВРИКОМ МАКСОМ. РАЗВИВАЕМ КРЕАТИВНОСТЬ</t>
  </si>
  <si>
    <t>978-5-378-33935-8</t>
  </si>
  <si>
    <t>Дети любят рисовать и раскрашивать, а эти яркие раскраски с милым и забавным динозавриком Максом ещё и полезные! С серией брошюр по 16 страниц ребёнок не только проведёт интересно время, но и научится новому, выполняя задания с различной тематикой. В серию входят раскраски: "Развиваем креативность", "Решаем примеры", "Играем и рисуем", "Раскрашиваем по номерам", они подойдут как в подарок ребёнку, так и для занятий в детском саду.</t>
  </si>
  <si>
    <t>9785378339358</t>
  </si>
  <si>
    <t>Книги для чтения</t>
  </si>
  <si>
    <t>109743</t>
  </si>
  <si>
    <t>ДАША УЧИТСЯ ЗАСЫПАТЬ глянц.ламин.обл, офсет  215х290</t>
  </si>
  <si>
    <t>978-5-378-29207-3</t>
  </si>
  <si>
    <t>Как заснуть, если спать совсем не хочется? В этой книге озорная непоседа Даша узнает несколько полезных советов о том, как вечером быстро настроиться на сон, а утром проснуться бодрой и весёлой!</t>
  </si>
  <si>
    <t>9785378292073</t>
  </si>
  <si>
    <t>215х290х8</t>
  </si>
  <si>
    <t>116863</t>
  </si>
  <si>
    <t>ПАНДОЧКА И ПАПИН ПОДАРОК, или как провести день без телефона глянц.ламин.обл. офсет  215х290</t>
  </si>
  <si>
    <t>978-5-378-29567-8</t>
  </si>
  <si>
    <t>Маленькая Пандочка, как и многие другие дети, очень хотела себе телефон. И когда она получила заветный подарок, малышка не могла с ним расстаться... Возможно, подобная ситуация знакома многим...Эта книга будет полезна как детям, так и их родителям, и расскажет, что ни один гаджет не сможет заменить общения с близкими людьми.</t>
  </si>
  <si>
    <t>9785378295678</t>
  </si>
  <si>
    <t>Грецкая Анастасия Николаевна</t>
  </si>
  <si>
    <t>Котёнок Пух</t>
  </si>
  <si>
    <t>СЕРИЯ: Котёнок Пух мелов. бум, тиснение 200х240</t>
  </si>
  <si>
    <t>089946</t>
  </si>
  <si>
    <t>Котёнок ПУХ и его Большой Секрет (синяя) 200х240</t>
  </si>
  <si>
    <t>978-5-378-28736-9</t>
  </si>
  <si>
    <t>Знакомьтесь, это Пух! Он очень милый, добрый и храбрый. А ещё у него есть секрет. И не просто секрет, а "Большой Секрет". Не терпится узнать какой? Читайте историю о котёнке Пухе, и он обязательно вам о нём расскажет!</t>
  </si>
  <si>
    <t>9785378287369</t>
  </si>
  <si>
    <t>200х240х5</t>
  </si>
  <si>
    <t>144145</t>
  </si>
  <si>
    <t>Котёнок Пух. Азбука 200х240</t>
  </si>
  <si>
    <t>978-5-378-30789-0</t>
  </si>
  <si>
    <t>Наш котёнок Пушок подрос-и вот пришла пора учить буквы. Хочешь учиться читать вместе с ним? Скорее открывай книжку-там тебя ждут яркие картинки, любимый Пух и целая азбука в стихах!</t>
  </si>
  <si>
    <t>9785378307890</t>
  </si>
  <si>
    <t>СЕРИЯ: ПРОПИСИ КОТЁНКА ПУХА глянц.ламин, картон.обл. 195х276</t>
  </si>
  <si>
    <t>152575</t>
  </si>
  <si>
    <t>ПРОПИСИ КОТЁНКА ПУХА. ГОТОВИМ РУКУ К ПИСЬМУ</t>
  </si>
  <si>
    <t>978-5-378-31065-4</t>
  </si>
  <si>
    <t>Новые прописи помогут малышу подготовить руку к письму, развить внимание и аккуратность, а иллюстрации с милым котёнком Пухом сделают процесс рисования интересным и нескучным!</t>
  </si>
  <si>
    <t>9785378310654</t>
  </si>
  <si>
    <t>556e1896040b368b19227dc1f112c0bf</t>
  </si>
  <si>
    <t>195х276х3</t>
  </si>
  <si>
    <t>152576</t>
  </si>
  <si>
    <t>ПРОПИСИ КОТЁНКА ПУХА. РАЗВИВАЕМ МЕЛКУЮ МОТОРИКУ</t>
  </si>
  <si>
    <t>978-5-378-31068-5</t>
  </si>
  <si>
    <t>9785378310685</t>
  </si>
  <si>
    <t>77ee7f9e6abcd45874179ffbee488241</t>
  </si>
  <si>
    <t>СЕРИЯ: РАЗВИВАЕМСЯ С ПУХОМ глянц.ламин. картон.обл. 195х276</t>
  </si>
  <si>
    <t>185009</t>
  </si>
  <si>
    <t>РАЗВИВАЕМСЯ С ПУХОМ. Задачки котёнка Пуха</t>
  </si>
  <si>
    <t>978-5-378-33519-0</t>
  </si>
  <si>
    <t>Серия из четырёх развивающих брошюр для полезного времяпрепровождения. Дети вместе с любимыми героями окунутся в яркий увлекательный мир кроссвордов, головоломок, игр и заданий для памяти, внимания и мышления.</t>
  </si>
  <si>
    <t>9785378335190</t>
  </si>
  <si>
    <t>92370ee7f4ca9008950b280d489a6cac</t>
  </si>
  <si>
    <t>185007</t>
  </si>
  <si>
    <t>РАЗВИВАЕМСЯ С ПУХОМ. Кроссворды котёнка Пуха</t>
  </si>
  <si>
    <t>978-5-378-33517-6</t>
  </si>
  <si>
    <t>9785378335176</t>
  </si>
  <si>
    <t>ab117d3bbd27bef19b9f09d4e3534f9e</t>
  </si>
  <si>
    <t>Лучший для Мамы. Летучий мышонок Юрик</t>
  </si>
  <si>
    <t>190385</t>
  </si>
  <si>
    <t>ЛУЧШИЙ ДЛЯ МАМЫ мат.ламин.обл. выб.лак, тиснение, офсет 203х257</t>
  </si>
  <si>
    <t>978-5-378-33907-5</t>
  </si>
  <si>
    <t xml:space="preserve">Летучий мышонок Юрик - большой озорник! Он очень переживает, что плохо себя ведёт и мама любит его не так сильно, как остальных братьев и сестёр... Но так ли это? История, написанная с юмором и большой теплотой, идеально подходит для первого чтения с ребёнком. </t>
  </si>
  <si>
    <t>9785378339075</t>
  </si>
  <si>
    <t>08988caa0bf412dd6dd3369984205dbd</t>
  </si>
  <si>
    <t>200х240х7</t>
  </si>
  <si>
    <t>270083</t>
  </si>
  <si>
    <t>ЛУЧШИЙ ДЛЯ МАМЫ. КОГДА ЛЮБОВЬ ЛЕЧИТ мат.ламин.обл. выб.лак, тиснение, офсет 203х257</t>
  </si>
  <si>
    <t>978-5-378-35990-5</t>
  </si>
  <si>
    <t>Однажды мама летучих мышат - Юрика, Шурика, Рюрика и Юли - простудилась. Но как её вылечить? Возможно, поможет волшебный отвар. Но есть лекарство сильнее...</t>
  </si>
  <si>
    <t>9785378359905</t>
  </si>
  <si>
    <t>f18e7444c70721ffc82afb5b26c37fd7</t>
  </si>
  <si>
    <t>203х257х10</t>
  </si>
  <si>
    <t>217537</t>
  </si>
  <si>
    <t>ПОДАРОК ДЛЯ МАМЫ мат.ламин, выб.лак, тиснение, мелов. 200х240</t>
  </si>
  <si>
    <t>978-5-378-34538-0</t>
  </si>
  <si>
    <t>Сегодня луна круглее, чем вчера. А вчера была круглее, чем позавчера... Когда она станет похожей на сковородку, наступит ночь рождения мамы летучих мышат Юрика, Шурика, Рюрика и их сестрёнки Юли. Но вот незадача: за свою недолгую жизнь они никому ещё ничего не дарили. Как же порадовать маму? Какой подарок для неё самый лучший на свете?</t>
  </si>
  <si>
    <t>9785378345380</t>
  </si>
  <si>
    <t>f225861ce4a73e54a6ced9fca2c26b83</t>
  </si>
  <si>
    <t>16.11.2023 0:00:00</t>
  </si>
  <si>
    <t>мат. лам+выб.лак</t>
  </si>
  <si>
    <t>200х240х8</t>
  </si>
  <si>
    <t>Трактор Вик</t>
  </si>
  <si>
    <t xml:space="preserve">СЕРИЯ: Книги 7БЦ Трактор Вик </t>
  </si>
  <si>
    <t>267396</t>
  </si>
  <si>
    <t>БОЛЬШАЯ КНИГА ПРИКЛЮЧЕНИЙ ТРАКТОРА ВИКА мат.ламин + выб лак, офсет.  203х257</t>
  </si>
  <si>
    <t>978-5-378-35917-2</t>
  </si>
  <si>
    <t>Все истории про любимого героя в одной книге! Жизнь маленького трактора Вика полна невероятных событий. Он обошёл всех соперников в крутых гонках, поборол пожар на фермерской ярмарке и спас от гибели лес и его обитателей. Но ничего бы не получилось без поддержки самых близких - семьи и верных друзей.</t>
  </si>
  <si>
    <t>9785378359172</t>
  </si>
  <si>
    <t>3e2dbc88368ce621dad72091a186a5e5</t>
  </si>
  <si>
    <t>203х257х13</t>
  </si>
  <si>
    <t>176643</t>
  </si>
  <si>
    <t>ТРАКТОР ВИК И БОЛЬШАЯ ГОНКА мат.ламин, выб.лак, офсет.  230х230</t>
  </si>
  <si>
    <t>978-5-378-32895-6</t>
  </si>
  <si>
    <t>Это Вик! С одной стороны он совершенно обыкновенный трактор, который живет и работает на ферме со своей семьёй. Но с другой стороны...Он всем своим мотором любит гонки и мечтает поучаствовать в соревнованиях тракторов. Упорные тренировки, вера в себя и, конечно же, поддержка семьи и друзей непременно помогут ему прийти к своей цели!</t>
  </si>
  <si>
    <t>9785378328956</t>
  </si>
  <si>
    <t>82d4cdf6695adf6cd6fd1fd4ab08ba9d</t>
  </si>
  <si>
    <t>230x230x6</t>
  </si>
  <si>
    <t>232089</t>
  </si>
  <si>
    <t>ТРАКТОР ВИК И ЕГО КОМАНДА СПАСАЮТ ЛЕС мат.ламин, выб.лак, офсет.  230х230</t>
  </si>
  <si>
    <t>978-5-378-34848-0</t>
  </si>
  <si>
    <t xml:space="preserve">Еще более захватывающий сюжет в новой книге о приключениях любимых героев!  На этот раз трактор Вик вместе с дружной командой должны освободить русло реки от поваленного дерева и спасти лес от неминуемой гибели. </t>
  </si>
  <si>
    <t>9785378348480</t>
  </si>
  <si>
    <t>1b7887b41347aadf3a9d6f5e6f53bf85</t>
  </si>
  <si>
    <t>мат лам+выб лак</t>
  </si>
  <si>
    <t>204770</t>
  </si>
  <si>
    <t>ТРАКТОР ВИК И ЕГО ПОЖАРНАЯ КОМАНДА мат.ламин, выб.лак, офсет.  230х230</t>
  </si>
  <si>
    <t>978-5-378-34260-0</t>
  </si>
  <si>
    <t xml:space="preserve">Трактор Вик возвращается с новой захватывающей историей о смелости, преданности своему делу и, конечно же, дружбе. 
В новой книге герою придется найти общий язык со своим главным соперником, чтобы предотвратить беду. И кто бы мог подумать, что с тех пор они станут добрыми друзьями! </t>
  </si>
  <si>
    <t>9785378342600</t>
  </si>
  <si>
    <t>f48178d1c645960263efe448d61bd5ef</t>
  </si>
  <si>
    <t>4. КНИГИ НА РАЗНЫХ ЯЗЫКАХ</t>
  </si>
  <si>
    <t>КНИГИ НА АНГЛИЙСКОМ глянц.ламин. тв.обл.</t>
  </si>
  <si>
    <t>183392</t>
  </si>
  <si>
    <t>Fiction on afflictions (Стори про хвори, офсет 215х280)</t>
  </si>
  <si>
    <t>978-5-378-33410-0</t>
  </si>
  <si>
    <t>Хотите не просто совершенствовать английский язык, но и расширять кругозор? Представляем вам мини-энциклопедию о болезнях Fiction on afflictions. Кто заразил броненосцев проказой, почему до начала 20 века романтизировали туберкулёз, сколько стоит самое дорогое лекарство в мире, в какой стране девушек откармливают, чтобы «подогнать» под местные каноны красоты – об этих и других любопытных фактах вы узнаете из нашей новой книги, если ваш уровень английского не ниже Intermediate. Пополняйте свой багаж знаний и делитесь открытиями с друзьями и близкими! Entertaining reading!</t>
  </si>
  <si>
    <t>9785378334100</t>
  </si>
  <si>
    <t>Гринина Ольга Александровна</t>
  </si>
  <si>
    <t>215х280х5</t>
  </si>
  <si>
    <t>124082</t>
  </si>
  <si>
    <t xml:space="preserve">Kitten Fluffy and Tooth fairy (Котёнок Пух и Зубная фея, мелов. 200х240) </t>
  </si>
  <si>
    <t>978-5-378-29860-0</t>
  </si>
  <si>
    <t>Обучение иностранному языку проходит гораздо успешнее, если сопровождать его интересными и красочными историями. Полюбившиеся многим серии книг о маленькой панде, динозаврике Максе, лисичке Даше и котёнке Пухе переведены на английский, чтобы ваш ребёнок мог практиковать навык чтения и разговорной речи. В этом ему помогут яркие иллюстрации и крупный понятный шрифт. Читайте и развивайтесь с удовольствием!</t>
  </si>
  <si>
    <t>9785378298600</t>
  </si>
  <si>
    <t>da96f444a40e844f509c8092cab39d3e</t>
  </si>
  <si>
    <t>124081</t>
  </si>
  <si>
    <t>Kitten Fluffy learns to be a good friend (Котёнок Пух учится дружить, мелов. 200х240)</t>
  </si>
  <si>
    <t>978-5-378-29861-7</t>
  </si>
  <si>
    <t>9785378298617</t>
  </si>
  <si>
    <t>4bd98499d8ebfd8e5452a9361052ac3f</t>
  </si>
  <si>
    <t>176581</t>
  </si>
  <si>
    <t>Snow White (Белоснежка, офсет, 217х280)</t>
  </si>
  <si>
    <t>978-5-378-32798-0</t>
  </si>
  <si>
    <t>Книга про Белоснежку станет отличным подарком для тех, кто начинает изучать английский язык. Потрясающие иллюстрации задержат на себе внимание, а тексты, адаптированные для начинающих читателей, сделают чтение на английском приятным и увлекательным.</t>
  </si>
  <si>
    <t>9785378327980</t>
  </si>
  <si>
    <t>Братья Гримм</t>
  </si>
  <si>
    <t>217х280х5</t>
  </si>
  <si>
    <t>124076</t>
  </si>
  <si>
    <t>The Little Panda and Dad's present (Пандочка и папин подарок, мелов. 215х290)</t>
  </si>
  <si>
    <t>978-5-378-29862-4</t>
  </si>
  <si>
    <t>9785378298624</t>
  </si>
  <si>
    <t>183394</t>
  </si>
  <si>
    <t xml:space="preserve">The tractor called Vick and the big race (Трактор Вик и его большая гонка, офсет 230х230) </t>
  </si>
  <si>
    <t>978-5-378-33411-7</t>
  </si>
  <si>
    <t>Не просто закрепить базовый уровень английского языка, но и усовершенствовать его поможет наша новая книга о приключениях маленького трактора Вика, который, несмотря на все преграды, смог осуществить свою мечту – победить в большой гонке. Растите полиглотов, повышайте уровень английского с издательством «Проф-Пресс»!</t>
  </si>
  <si>
    <t>9785378334117</t>
  </si>
  <si>
    <t>8db13fe2b81658e642318eb903c3f527</t>
  </si>
  <si>
    <t>230х230х5</t>
  </si>
  <si>
    <t>КНИГИ НА ТАТАРСКОМ глянц.ламин. тв.обл.  217х280</t>
  </si>
  <si>
    <t>200223</t>
  </si>
  <si>
    <t>Габдулла Тукай. ШҮРӘЛЕ (на татарском) глянц.ламин. мелов. 217х280</t>
  </si>
  <si>
    <t>978-5-378-34139-9</t>
  </si>
  <si>
    <t>Текст в книге представлен полностью на татарском языке. Книга рассказывает историю из татарского фольклора об удалом джигите, сумевшем не стать добычей лесного духа Шурале благодаря хитрости и смекалке. Крупный текст делает чтение простым и лёгким. Приятные тактильные ощущения достигаются за счёт качественной мелованной бумаги, которая превращает издание в настоящий подарок. Потрясающие яркие и аутентичные иллюстрации современного художника одновременно позволяют и сохранить национальный колорит, и познакомить с классическим произведением представителей подрастающего поколения!</t>
  </si>
  <si>
    <t>9785378341399</t>
  </si>
  <si>
    <t>Тукай Габдулла Мухамметгарифович</t>
  </si>
  <si>
    <t>217х280х6</t>
  </si>
  <si>
    <t>СЕРИЯ: КНИГИ ДЛЯ БИЛИНГВОВ глянц.ламин. тв.обл. 215х288 (офсет 100)</t>
  </si>
  <si>
    <t>226099</t>
  </si>
  <si>
    <t>КНИГИ ДЛЯ БИЛИНГВОВ. Акула Мила находит друзей (Mila the shark makes friends)</t>
  </si>
  <si>
    <t>978-5-378-34687-5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</si>
  <si>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самой миролю бивой акуле Миле, которой так не хватает друзей. Также в серии представлены добрые истории о храбром муравье Матвее, спасшем школу и товарищей от страшного ливня, знакомстве маленького динозаврика Макса с детским садом и безграничной лю бви мамы к своему непоседливому сыночку, летучему мышонку Юрику.</t>
  </si>
  <si>
    <t>9785378346875</t>
  </si>
  <si>
    <t>Федулова Анна Алексеевна</t>
  </si>
  <si>
    <t>fa58454cb060574be22d839345728e25</t>
  </si>
  <si>
    <t>226101</t>
  </si>
  <si>
    <t>КНИГИ ДЛЯ БИЛИНГВОВ. Лучший для мамы (The best for his mum)</t>
  </si>
  <si>
    <t>978-5-378-34688-2</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</si>
  <si>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безграничной лю бви мамы к своему непоседливому сыночку, летучему мышонку Юрику.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храбром муравье Матвее, спасшем школу и товарищей от страшного ливня.</t>
  </si>
  <si>
    <t>9785378346882</t>
  </si>
  <si>
    <t>6b6f7e601f9ef840741508aa3ff31ef3</t>
  </si>
  <si>
    <t>226103</t>
  </si>
  <si>
    <t>КНИГИ ДЛЯ БИЛИНГВОВ. Макс в детском саду (Max in the kindergarten)</t>
  </si>
  <si>
    <t>978-5-378-34690-5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</si>
  <si>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маленьком динозаврике Максе, который только знакомится с детским садом и учится быть самостоятельным. Также в серии представлены добрые истории о храбром муравье Матвее, спасшем школу и товарищей от страшного ливня, миролю бивой акуле Миле, которой так не хватает друзей, и безграничной любви мамы к своему непоседливому сыночку, летучему мышонку Юрику.</t>
  </si>
  <si>
    <t>9785378346905</t>
  </si>
  <si>
    <t>a69dc0f04fab7d7bfcc1db2375cc2e81</t>
  </si>
  <si>
    <t>226102</t>
  </si>
  <si>
    <t>КНИГИ ДЛЯ БИЛИНГВОВ. Самый храбрый муравей (The bravest ant)</t>
  </si>
  <si>
    <t>978-5-378-34689-9</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</si>
  <si>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самом храбром муравье Матвее, спасшем школу и товарищей от страшного ливня.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безграничной лю бви мамы к своему непоседливому сыночку, летучему мышонку Юрику.</t>
  </si>
  <si>
    <t>9785378346899</t>
  </si>
  <si>
    <t>Хворост Александра Юрьевна</t>
  </si>
  <si>
    <t>2a6415446842edf87ea5e27ad21cbe28</t>
  </si>
  <si>
    <t>СЕРИЯ: МИР СКАЗОК Әкиятләр дөньясы КНИГИ НА ТАТАРСКОМ глянц.ламин, мелов.бум 165х240</t>
  </si>
  <si>
    <t>190566</t>
  </si>
  <si>
    <t>КНИГИ НА ТАТАРСКОМ. Әкиятләр дөньясы. Уймак кыз. Бүре һәм җиде кәҗә бәтие</t>
  </si>
  <si>
    <t>978-5-378-33866-5</t>
  </si>
  <si>
    <t xml:space="preserve">В книге читатели встретятся с любимыми героями самых знаменитых зарубежных авторов – Г.Х. Андерсена и братьев Гримм. Любимые сказки повествуют о добре, отзывчивости и взаимовыручке. 
Качественная бумага, красочные обложки,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Отлично дополняют тексты красочные иллюстрации современных художников. </t>
  </si>
  <si>
    <t>9785378338665</t>
  </si>
  <si>
    <t>пер. Альфия Арсланова</t>
  </si>
  <si>
    <t>165х240х2</t>
  </si>
  <si>
    <t>190568</t>
  </si>
  <si>
    <t>КНИГИ НА ТАТАРСКОМ. Чуар тавык. Теремкәй</t>
  </si>
  <si>
    <t>978-5-378-33868-9</t>
  </si>
  <si>
    <t xml:space="preserve">В книге вас ждут любимые герои, с которыми малыши знакомятся впервые, ещё не умея ходить! Добрые и поучительные тексты русских народных сказок, яркие иллюстрации со множеством деталей – их так интересно рассматривать!
Качественная бумага,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t>
  </si>
  <si>
    <t>9785378338689</t>
  </si>
  <si>
    <t>5. ИЗДАНИЯ ДЛЯ ТВОРЧЕСТВА И ПЛАНИРОВАНИЯ</t>
  </si>
  <si>
    <t>Gatto Rosso</t>
  </si>
  <si>
    <t>CЕРИЯ: Gatto Rosso. Блокнот в клетку "ДИКИЕ КОШКИ" 128л.выб.лак,тиснен.,круг.углы.145х203(офсет80гр)</t>
  </si>
  <si>
    <t>253364</t>
  </si>
  <si>
    <t>Gatto Rosso. Блокнот в клетку "ДИКИЕ КОШКИ" ЛЬВИЦА</t>
  </si>
  <si>
    <t>467-0-159-26480-4</t>
  </si>
  <si>
    <t>Серия блокнотов «Дикие кошки» Gatto Rosso — это воплощение роскоши и грации. В коллекцию входят блокноты «Чёрная кошка», «Леопард», «Львица» и «Пантера», каждая из которых покоряет пронзительным взглядом хищницы и изысканным дизайном с использованием флористических мотивов и топовых цветовых сочетаний цветов. Формат А5, твёрдый переплет, скруглённые углы, матовая обложка с выборочным лаком и холодным тиснением, внутренний блок из 128 листов с клеткой делают блокноты практичными, современными, невероятно стильными. Идеальный аксессуар для тех, кто ценит элегантность и дерзкий характер диких кошек.</t>
  </si>
  <si>
    <t>4670159264804</t>
  </si>
  <si>
    <t>8c7581501b742aa9bdbd4a6d99580cda</t>
  </si>
  <si>
    <t>тиснение + лак</t>
  </si>
  <si>
    <t>144x203x16</t>
  </si>
  <si>
    <t>253363</t>
  </si>
  <si>
    <t>Gatto Rosso. Блокнот в клетку "ДИКИЕ КОШКИ" ПАНТЕРА</t>
  </si>
  <si>
    <t xml:space="preserve">467-0-159-26479-8 </t>
  </si>
  <si>
    <t>4670159264798</t>
  </si>
  <si>
    <t>3da7785b5ffdd35f1183c2454238873f</t>
  </si>
  <si>
    <t>253365</t>
  </si>
  <si>
    <t>Gatto Rosso. Блокнот в клетку "ДИКИЕ КОШКИ" ЧЁРНАЯ КОШКА</t>
  </si>
  <si>
    <t>467-0-159-26481-1</t>
  </si>
  <si>
    <t>4670159264811</t>
  </si>
  <si>
    <t>6aca4111b13ef191263bdd97f39b81f2</t>
  </si>
  <si>
    <t>CЕРИЯ: Gatto Rosso. Блокнот в клетку Floral anime 40л. выб.лак, кругл.углы 120х160 (офсет 80гр)</t>
  </si>
  <si>
    <t>245216</t>
  </si>
  <si>
    <t>Gatto Rosso. Блокнот в клетку Floral anime. ГОЛУБОЙ</t>
  </si>
  <si>
    <t>467-0-159-24167-6</t>
  </si>
  <si>
    <t>4670159241676</t>
  </si>
  <si>
    <t>12370c9e67c978f27ae54db90e5a1f49</t>
  </si>
  <si>
    <t>120х160х5</t>
  </si>
  <si>
    <t>245218</t>
  </si>
  <si>
    <t>Gatto Rosso. Блокнот в клетку Floral anime. ОРАНЖЕВЫЙ</t>
  </si>
  <si>
    <t>467-0-159-24168-3</t>
  </si>
  <si>
    <t>4670159241683</t>
  </si>
  <si>
    <t>283f6a2a1df1e311ece4b9c532400ea2</t>
  </si>
  <si>
    <t>245219</t>
  </si>
  <si>
    <t>Gatto Rosso. Блокнот в клетку Floral anime. РОЗОВЫЙ</t>
  </si>
  <si>
    <t>467-0-159-24169-0</t>
  </si>
  <si>
    <t>4670159241690</t>
  </si>
  <si>
    <t>e9f952e0c6b8bb09fae0a28a0371cc3e</t>
  </si>
  <si>
    <t>245221</t>
  </si>
  <si>
    <t>Gatto Rosso. Блокнот в клетку Floral anime. ФИОЛЕТОВЫЙ</t>
  </si>
  <si>
    <t>467-0-159-24170-6</t>
  </si>
  <si>
    <t>4670159241706</t>
  </si>
  <si>
    <t>b3a3910cd3abec4bcca400ab80de0e94</t>
  </si>
  <si>
    <t>CЕРИЯ: Gatto Rosso. Блокнот в клетку My notebook 40л. выб.лак, кругл.углы 140х200 (офсет 80гр)</t>
  </si>
  <si>
    <t>208679</t>
  </si>
  <si>
    <t>Gatto Rosso. Блокнот в клетку My notebook. НЕВИННОСТЬ</t>
  </si>
  <si>
    <t xml:space="preserve">467-0-159-06373-5 </t>
  </si>
  <si>
    <t xml:space="preserve">Какая ты? Невинная, нежная, таинственная, чувственная? Выбери блокнот в клетку из нашей новой серии, который подойдет именно тебе. Записывай свои мысли и планы — мечтай и достигай! </t>
  </si>
  <si>
    <t>4670159063735</t>
  </si>
  <si>
    <t>140х200х5</t>
  </si>
  <si>
    <t>208673</t>
  </si>
  <si>
    <t>Gatto Rosso. Блокнот в клетку My notebook. НЕЖНОСТЬ</t>
  </si>
  <si>
    <t xml:space="preserve">467-0-159-06371-1 </t>
  </si>
  <si>
    <t>4670159063711</t>
  </si>
  <si>
    <t>208681</t>
  </si>
  <si>
    <t>Gatto Rosso. Блокнот в клетку My notebook. ТАИНСТВЕННОСТЬ</t>
  </si>
  <si>
    <t xml:space="preserve">467-0-159-06374-2 </t>
  </si>
  <si>
    <t>4670159063742</t>
  </si>
  <si>
    <t>208677</t>
  </si>
  <si>
    <t>Gatto Rosso. Блокнот в клетку My notebook. ЧУВСТВЕННОСТЬ</t>
  </si>
  <si>
    <t xml:space="preserve">467-0-159-06372-8 </t>
  </si>
  <si>
    <t>4670159063728</t>
  </si>
  <si>
    <t>CЕРИЯ: Gatto Rosso. Блокнот в линию Tenero 40л. мат.ламин, тиснение, кругл.углы 140х200 (офсет 80гр)</t>
  </si>
  <si>
    <t>223812</t>
  </si>
  <si>
    <t>Gatto Rosso. Блокнот в линию Tenero. Голубой</t>
  </si>
  <si>
    <t>467-0-159-14644-5</t>
  </si>
  <si>
    <t>Представляем блокноты в линию с обложками в нежных оттенках. Какой выберешь ты? Записывай мысли и планы, мечтай и достигай!</t>
  </si>
  <si>
    <t>4670159146445</t>
  </si>
  <si>
    <t>dbc5574826347a83d25be20efc82cecb</t>
  </si>
  <si>
    <t>22.11.2024 0:00:00</t>
  </si>
  <si>
    <t>мат ламинация+тиснение</t>
  </si>
  <si>
    <t>140x199x5</t>
  </si>
  <si>
    <t>223814</t>
  </si>
  <si>
    <t>Gatto Rosso. Блокнот в линию Tenero. Жёлтый</t>
  </si>
  <si>
    <t>467-0-159-14646-9</t>
  </si>
  <si>
    <t>4670159146469</t>
  </si>
  <si>
    <t>959051bbf256d1c2c3fd9616109361c1</t>
  </si>
  <si>
    <t>13.11.2024 0:00:00</t>
  </si>
  <si>
    <t>223813</t>
  </si>
  <si>
    <t>Gatto Rosso. Блокнот в линию Tenero. Персиковый</t>
  </si>
  <si>
    <t>467-0-159-14645-2</t>
  </si>
  <si>
    <t xml:space="preserve">4670159146452 </t>
  </si>
  <si>
    <t>c3e82282a923f1787ebc70f484e0495c</t>
  </si>
  <si>
    <t>223815</t>
  </si>
  <si>
    <t>Gatto Rosso. Блокнот в линию Tenero. Розовый</t>
  </si>
  <si>
    <t>467-0-159-14647-6</t>
  </si>
  <si>
    <t>4670159146476</t>
  </si>
  <si>
    <t>803a0f66947f2e68191607b1b7bba01d</t>
  </si>
  <si>
    <t>CЕРИЯ: Gatto Rosso. Блокнот в линию Женщины о женщинах 40л. выб.лак, кругл.углы 140х200 (офсет 80гр)</t>
  </si>
  <si>
    <t>223810</t>
  </si>
  <si>
    <t>Gatto Rosso. Блокнот в линию Женщины о женщинах. Вивьен Ли</t>
  </si>
  <si>
    <t>467-0-159-14858-6</t>
  </si>
  <si>
    <t xml:space="preserve">Представляем блокноты с яркими фразами великих женщин. Какой выберешь ты? Записывай мысли и планы, мечтай и достигай! </t>
  </si>
  <si>
    <t>4670159148586</t>
  </si>
  <si>
    <t>e4c21d99b5a2f613f709b49df3176a53</t>
  </si>
  <si>
    <t>12.11.2024 0:00:00</t>
  </si>
  <si>
    <t>223809</t>
  </si>
  <si>
    <t>Gatto Rosso. Блокнот в линию Женщины о женщинах. Коко Шанель</t>
  </si>
  <si>
    <t>467-0-159-14857-9</t>
  </si>
  <si>
    <t>4670159148579</t>
  </si>
  <si>
    <t>4612a0ead6d11f4bbf689a30e7b703bc</t>
  </si>
  <si>
    <t>223807</t>
  </si>
  <si>
    <t>Gatto Rosso. Блокнот в линию Женщины о женщинах. Мэрилин Монро</t>
  </si>
  <si>
    <t>467-0-159-14855-5</t>
  </si>
  <si>
    <t>4670159148555</t>
  </si>
  <si>
    <t>5ee26ea63b56ad0671f93314789afc9b</t>
  </si>
  <si>
    <t>223808</t>
  </si>
  <si>
    <t>Gatto Rosso. Блокнот в линию Женщины о женщинах. Софи Лорен</t>
  </si>
  <si>
    <t>467-0-159-14856-2</t>
  </si>
  <si>
    <t>4670159148562</t>
  </si>
  <si>
    <t>2a891ed43c8eff5ed7b9b4ebccc45dda</t>
  </si>
  <si>
    <t>CЕРИЯ: Gatto Rosso. Блокнот в линию Звёздный Notebook 40л. выб.лак, кругл.углы 140х200 (офсет 80гр)</t>
  </si>
  <si>
    <t>222987</t>
  </si>
  <si>
    <t>Gatto Rosso. Блокнот в линию Звёздный Notebook. ВЗГЛЯД</t>
  </si>
  <si>
    <t>467-0-159-14044-3</t>
  </si>
  <si>
    <t>Мировой шедевр Винсента Ван Гога "Звёздная ночь" и мировой тренд "Аниме" на обложках новых блокнотов Gatto Rosso!</t>
  </si>
  <si>
    <t>4670159140443</t>
  </si>
  <si>
    <t>343daff6b9d10805d8d4a574e359007f</t>
  </si>
  <si>
    <t>222989</t>
  </si>
  <si>
    <t>Gatto Rosso. Блокнот в линию Звёздный Notebook. ЗАГАДАЙ ЖЕЛАНИЕ</t>
  </si>
  <si>
    <t>467-0-159-14046-7</t>
  </si>
  <si>
    <t>4670159140467</t>
  </si>
  <si>
    <t>222988</t>
  </si>
  <si>
    <t>Gatto Rosso. Блокнот в линию Звёздный Notebook. МЕЧТЫ</t>
  </si>
  <si>
    <t>467-0-159-14045-0</t>
  </si>
  <si>
    <t>4670159140450</t>
  </si>
  <si>
    <t>222990</t>
  </si>
  <si>
    <t>Gatto Rosso. Блокнот в линию Звёздный Notebook. НА БЕРЕГУ</t>
  </si>
  <si>
    <t>467-0-159-14047-4</t>
  </si>
  <si>
    <t>4670159140474</t>
  </si>
  <si>
    <t>CЕРИЯ: Gatto Rosso. МАК в коробке 105х160</t>
  </si>
  <si>
    <t>221915</t>
  </si>
  <si>
    <t>Gatto Rosso. Метафорические Ассоциативные Карты. Послания из подсознания</t>
  </si>
  <si>
    <t>467-0-159-13656-9</t>
  </si>
  <si>
    <t>На пути к принятию, постижению себя и любви к себе важно заручиться поддержкой. Эта колода поможет справиться с кризисами, достичь гармонии души и расшифровать знаки, которые посылает нам Судьба.
Как использовать:
1. Разложите карты перед собой рубашкой вверх и настройтесь.
Сформулируйте вопрос, обратитесь к Подсознанию, вытяните карту из колоды и рассмотрите изображение. Какие метафоры, ассоциации и воспоминания вызывает эта карта? Важно не столько само изображение, сколько уникальные впечатления и эмоции от него.
2. Доставайте карту дня на каждый день месяца.
И помните: карты не дают ответов. Они только помогают вам
увидеть решение и изыскать ресурсы.</t>
  </si>
  <si>
    <t>4670159136569</t>
  </si>
  <si>
    <t>8b3487a4199981764778225202446cf0</t>
  </si>
  <si>
    <t>в картонной коробке</t>
  </si>
  <si>
    <t>110х160х20</t>
  </si>
  <si>
    <t>CЕРИЯ: Gatto Rosso. Раскраска Мандала 16л. картон обл, глянц.лам. 190х230 (офсет 100гр)</t>
  </si>
  <si>
    <t>236317</t>
  </si>
  <si>
    <t>Gatto Rosso. Раскраска Мандала. Денежный символ</t>
  </si>
  <si>
    <t>978-5-378-35062-9</t>
  </si>
  <si>
    <t>Если эти мандалы оказались у вас в руках, значит, пришла пора для терапевтического творчества и глубокой трансформации личности.
Значит, настало время довериться внутреннему голосу и приблизить желаемое. Магический круг можно выбрать либо интуитивно, либо по своим потребностям. Раскрашивание витиеватых рисунков — своеобразная форма медитации, позволяющая погрузиться в центр своей Вселенной.</t>
  </si>
  <si>
    <t>9785378350629</t>
  </si>
  <si>
    <t>b37d7fbe610f2314d95fcf9d50021ca1</t>
  </si>
  <si>
    <t>190х230х4</t>
  </si>
  <si>
    <t>236314</t>
  </si>
  <si>
    <t>Gatto Rosso. Раскраска Мандала. Код любви</t>
  </si>
  <si>
    <t>978-5-378-35061-2</t>
  </si>
  <si>
    <t>9785378350612</t>
  </si>
  <si>
    <t>d059804b7e59b7fe8652df00db507ba6</t>
  </si>
  <si>
    <t>223773</t>
  </si>
  <si>
    <t>Gatto Rosso. Раскраска Мандала. Магические круги</t>
  </si>
  <si>
    <t>978-5-378-34657-8</t>
  </si>
  <si>
    <t>Если эти мандалы оказались у вас в руках, значит пришла пора для терапевтического творчества и глубокой трансформации личности. Значит настало время довериться внутреннему голосу и приблизить желаемое. Магический круг можно выбрать интуитивно либо по своим потребностям. Раскрашивание витиеватых рисунков — своеобразная форма медитации, позволяющая погрузиться в центр своей Вселенной.</t>
  </si>
  <si>
    <t>9785378346578</t>
  </si>
  <si>
    <t>a0d675822b8b855045ffbfc7f734a0df</t>
  </si>
  <si>
    <t>MyArt</t>
  </si>
  <si>
    <t xml:space="preserve"> MyArt. Блокноты</t>
  </si>
  <si>
    <t>MyArt. Блокноты Total 168л выб.лак, кругл.углы, индивид.упак, 7БЦ 145х203(офсет 80гр)</t>
  </si>
  <si>
    <t>СЕРИЯ: MyArt. БЛОКНОТ в клетку Total Grey 168л мат.лам, выб.лак, кругл.углы, 7БЦ 145х203(офсет 80гр)</t>
  </si>
  <si>
    <t>226859</t>
  </si>
  <si>
    <t>MyArt. БЛОКНОТ в клетку Total Grey. Grey 3</t>
  </si>
  <si>
    <t>467-0-159-16253-7</t>
  </si>
  <si>
    <t>4670159162537</t>
  </si>
  <si>
    <t>31d0796b1af8e19b51977186171c8d3f</t>
  </si>
  <si>
    <t>12.04.2024 0:00:00</t>
  </si>
  <si>
    <t>145х203х20</t>
  </si>
  <si>
    <t>СЕРИЯ: MyArt. БЛОКНОТ в клетку Total PINK 168л мат.лам, выб.лак, кругл.углы, 7БЦ 145х203(офсет 80гр)</t>
  </si>
  <si>
    <t>236321</t>
  </si>
  <si>
    <t>MyArt. БЛОКНОТ в клетку Total PINK. Pink 1</t>
  </si>
  <si>
    <t>467-0-159-20635-4</t>
  </si>
  <si>
    <t>Девочки всех возрастов во всём мире знают и любят ЕЁ! Красивую блондинку, обожающую всё розовое. "Чем больше розового, тем лучше!" — это не только девиз популярной куклы, но и принцип, которым мы руководствовались при создании новых блокнотов. Розовая обложка и розовая клетка под ней. Этой зимой смотрим на мир сквозь розовые очки!</t>
  </si>
  <si>
    <t>4670159206354</t>
  </si>
  <si>
    <t>bda925c4513983136953eb3571c22704</t>
  </si>
  <si>
    <t>145x203x19</t>
  </si>
  <si>
    <t>236322</t>
  </si>
  <si>
    <t>MyArt. БЛОКНОТ в клетку Total PINK. Pink 2</t>
  </si>
  <si>
    <t>467-0-159-20636-1</t>
  </si>
  <si>
    <t>4670159206361</t>
  </si>
  <si>
    <t>6da73e34f46558b72f9c24c85e32a97d</t>
  </si>
  <si>
    <t>236323</t>
  </si>
  <si>
    <t>MyArt. БЛОКНОТ в клетку Total PINK. Pink 3</t>
  </si>
  <si>
    <t>467-0-159-20637-8</t>
  </si>
  <si>
    <t>4670159206378</t>
  </si>
  <si>
    <t>7ad5f2d143a820a8b790450ae9f7e79a</t>
  </si>
  <si>
    <t>СЕРИЯ. MyArt. БЛОКНОТ в линию Total Black 168л мат.лам, выб.лак, кругл.углы, 7БЦ 145х203(офсет 80гр)</t>
  </si>
  <si>
    <t>226855</t>
  </si>
  <si>
    <t>MyArt. БЛОКНОТ в линию Total Black. Black 4</t>
  </si>
  <si>
    <t>467-0-159-16250-6</t>
  </si>
  <si>
    <t>4670159162506</t>
  </si>
  <si>
    <t>12ede7986d60d847160e2bc2863d7abb</t>
  </si>
  <si>
    <t>144x203x20</t>
  </si>
  <si>
    <t>СЕРИЯ: MyArt: БЛОКНОТ на гребне 80л. мат.ламин, выб.лак 150х196 (бумага 120гр)</t>
  </si>
  <si>
    <t>169839</t>
  </si>
  <si>
    <t>MyArt. СКЕТЧБУК на гребне. БЛОКНОТ ДЛЯ ЛЕТТЕРИНГА И КАЛЛИГРАФИИ</t>
  </si>
  <si>
    <t>461-0-144-86653-8</t>
  </si>
  <si>
    <t>Блокнот для леттеринга и каллиграфии отлично подойдёт для тех, кто хочет освоить искусство красивого письма. Внутри чередуются 2 вида блоков с косыми линиями и разной толщиной строк. Плотная бумага, удобный формат и крепление страниц на гребне – все детали продуманы до мелочей.</t>
  </si>
  <si>
    <t>4610144866538</t>
  </si>
  <si>
    <t>168х195х27</t>
  </si>
  <si>
    <t>СЕРИЯ: MyArt. БЛОКНОТ "Милые животные" 80л выбор. лак, кругл. углы КБС 100х138 (бумага 100гр)</t>
  </si>
  <si>
    <t>256228</t>
  </si>
  <si>
    <t>MyArt. БЛОКНОТ. Милые животные. Белый котик</t>
  </si>
  <si>
    <t>467-0-159-27112-3</t>
  </si>
  <si>
    <t>Новая серия блокнотов «Милые животные» - это мини-блокноты с очаровательными питомцами на обложке! В серию входят: пушистый Шпиц, улыбчивая Сиба-Ину, загадочный Черный котик и игривый Белый котик. Удобный компактный формат, 80 листов. Идеально для записей, скетчей или подарка! Поднимет настроение в любой день.</t>
  </si>
  <si>
    <t>4670159271123</t>
  </si>
  <si>
    <t>15dee6cf18787c59482ed7b0d21c8dbf</t>
  </si>
  <si>
    <t>100х138х11</t>
  </si>
  <si>
    <t>256231</t>
  </si>
  <si>
    <t>MyArt. БЛОКНОТ. Милые животные. Сиба-ину</t>
  </si>
  <si>
    <t>467-0-159-27115-4</t>
  </si>
  <si>
    <t>4670159271154</t>
  </si>
  <si>
    <t>4147129df3e21791c1064d1bee5b7b7c</t>
  </si>
  <si>
    <t>256229</t>
  </si>
  <si>
    <t>MyArt. БЛОКНОТ. Милые животные. Чёрный котик</t>
  </si>
  <si>
    <t>467-0-159-27113-0</t>
  </si>
  <si>
    <t>4670159271130</t>
  </si>
  <si>
    <t>3ea5d1b009155d09fec6cdf05aaf3a05</t>
  </si>
  <si>
    <t>256230</t>
  </si>
  <si>
    <t>MyArt. БЛОКНОТ. Милые животные. Шпиц</t>
  </si>
  <si>
    <t>467-0-159-27114-7</t>
  </si>
  <si>
    <t>4670159271147</t>
  </si>
  <si>
    <t>5c2057ffc9b5e538f4c2313cca00241b</t>
  </si>
  <si>
    <t>СЕРИЯ: MyArt. БЛОКНОТ "На стиле" 32л, выб.лак, кругл.углы 115х150 (офсет 100гр)</t>
  </si>
  <si>
    <t>222885</t>
  </si>
  <si>
    <t>MyArt. БЛОКНОТ "На стиле" ГОЛУБОЙ</t>
  </si>
  <si>
    <t>467-0-159-13784-9</t>
  </si>
  <si>
    <t>Представляем стильные мини-блокноты с плотными белыми листами. Какой выберешь ты? Записывай мысли и планы, мечтай и достигай!</t>
  </si>
  <si>
    <t>4670159137849</t>
  </si>
  <si>
    <t>4d9b105c026ef20faa4d85f5196a0d35</t>
  </si>
  <si>
    <t>14.01.2025 0:00:00</t>
  </si>
  <si>
    <t>115х150х4</t>
  </si>
  <si>
    <t>222886</t>
  </si>
  <si>
    <t>MyArt. БЛОКНОТ "На стиле" ОРАНЖЕВЫЙ</t>
  </si>
  <si>
    <t>467-0-159-13785-6</t>
  </si>
  <si>
    <t>4670159137856</t>
  </si>
  <si>
    <t>aee015b3a2e44fef650946cb0b30e245</t>
  </si>
  <si>
    <t>222887</t>
  </si>
  <si>
    <t>MyArt. БЛОКНОТ "На стиле" РОЗОВЫЙ</t>
  </si>
  <si>
    <t>467-0-159-13786-3</t>
  </si>
  <si>
    <t>4670159137863</t>
  </si>
  <si>
    <t>55b005c4cfaf4402d158718276c950d7</t>
  </si>
  <si>
    <t>222888</t>
  </si>
  <si>
    <t>MyArt. БЛОКНОТ "На стиле" ФИОЛЕТОВЫЙ</t>
  </si>
  <si>
    <t>467-0-159-13787-0</t>
  </si>
  <si>
    <t>4670159137870</t>
  </si>
  <si>
    <t>fbf4017df2bd74536d58d9f48db80e2c</t>
  </si>
  <si>
    <t xml:space="preserve">СЕРИЯ: MyArt. БЛОКНОТ 64л выб.лак, кругл.углы КБС 160х195 </t>
  </si>
  <si>
    <t>136606</t>
  </si>
  <si>
    <t>MyArt. Дневник моей беременности</t>
  </si>
  <si>
    <t>468-0-088-40091-4</t>
  </si>
  <si>
    <t>Блокноты удобного формата с прекрасным художественным оформлением идеально подойдут как для записей, так и для зарисовок!</t>
  </si>
  <si>
    <t>4680088400914</t>
  </si>
  <si>
    <t>160х195х10</t>
  </si>
  <si>
    <t xml:space="preserve"> MyArt. Блокноты в клетку</t>
  </si>
  <si>
    <t>СЕРИЯ: MyArt. БЛОКНОТ в клетку 3D 160л, 7БЦ, глянц.лам, кругл.углы, индивид.упак 145х203(офсет 80гр)</t>
  </si>
  <si>
    <t>236584</t>
  </si>
  <si>
    <t>MyArt. БЛОКНОТ в клетку 3D. Апельсины</t>
  </si>
  <si>
    <t>467-0-159-20717-7</t>
  </si>
  <si>
    <t>4670159207177</t>
  </si>
  <si>
    <t>53c8d6d26728b683aec61e0f94b88956</t>
  </si>
  <si>
    <t>04.12.2024 0:00:00</t>
  </si>
  <si>
    <t>145х203х18</t>
  </si>
  <si>
    <t>236583</t>
  </si>
  <si>
    <t>MyArt. БЛОКНОТ в клетку 3D. Вишенки</t>
  </si>
  <si>
    <t>467-0-159-20716-0</t>
  </si>
  <si>
    <t>4670159207160</t>
  </si>
  <si>
    <t>4edd6e65579309a7154c2ceafda9422c</t>
  </si>
  <si>
    <t>236585</t>
  </si>
  <si>
    <t>MyArt. БЛОКНОТ в клетку 3D. Сердца</t>
  </si>
  <si>
    <t>467-0-159-20718-4</t>
  </si>
  <si>
    <t>4670159207184</t>
  </si>
  <si>
    <t>fdf92c88b0e9eb304e57dcc1ffa194b1</t>
  </si>
  <si>
    <t>236586</t>
  </si>
  <si>
    <t>MyArt. БЛОКНОТ в клетку 3D. Цветочки</t>
  </si>
  <si>
    <t>467-0-159-20719-1</t>
  </si>
  <si>
    <t>4670159207191</t>
  </si>
  <si>
    <t>2969f13999355bc656c3b4d0eeccf938</t>
  </si>
  <si>
    <t>СЕРИЯ: MyArt. БЛОКНОТ в клетку 40 л. мат.ламин, выб.лак 185х250 на скрепке</t>
  </si>
  <si>
    <t>253221</t>
  </si>
  <si>
    <t>MyArt. БЛОКНОТ в клетку 40 л Котёнок</t>
  </si>
  <si>
    <t>467-0-159-26614-3</t>
  </si>
  <si>
    <t>НЕОПРЕДЕЛЕНО</t>
  </si>
  <si>
    <t>4670159266143</t>
  </si>
  <si>
    <t>0</t>
  </si>
  <si>
    <t>253218</t>
  </si>
  <si>
    <t>MyArt. БЛОКНОТ в клетку 40 л Розовые мечты</t>
  </si>
  <si>
    <t>467-0-159-26611-2</t>
  </si>
  <si>
    <t>4670159266112</t>
  </si>
  <si>
    <t>253220</t>
  </si>
  <si>
    <t>MyArt. БЛОКНОТ в клетку 40 л Тираннозавр</t>
  </si>
  <si>
    <t>467-0-159-26612-9</t>
  </si>
  <si>
    <t>4670159266129</t>
  </si>
  <si>
    <t>СЕРИЯ: MyArt. БЛОКНОТ в клетку Anime &amp; Van Gogh 40л мат.лам, выб.лак, кругл.углы 140х200 (офсет 80г)</t>
  </si>
  <si>
    <t>236577</t>
  </si>
  <si>
    <t>MyArt. БЛОКНОТ в клетку Anime &amp; Van Gogh. Звёздная ночь. Лодка</t>
  </si>
  <si>
    <t>467-0-159-20691-0</t>
  </si>
  <si>
    <t>Что, если объединить два наших хита: Ван Гога и аниме? Тогда получится серия блокнотов MY ART! Всемирно известные сюжеты, яркие краски, женственные образы — это всё Anime &amp; Van Gogh.</t>
  </si>
  <si>
    <t>4670159206910</t>
  </si>
  <si>
    <t>8d4199c1d23d6cd30e2a6f2029ab1d33</t>
  </si>
  <si>
    <t>17.01.2025 0:00:00</t>
  </si>
  <si>
    <t>236578</t>
  </si>
  <si>
    <t>MyArt. БЛОКНОТ в клетку Anime &amp; Van Gogh. Маковое поле</t>
  </si>
  <si>
    <t>467-0-159-20692-7</t>
  </si>
  <si>
    <t>4670159206927</t>
  </si>
  <si>
    <t>df25bd00eb46e869ec04756478f0f3d1</t>
  </si>
  <si>
    <t>236580</t>
  </si>
  <si>
    <t>MyArt. БЛОКНОТ в клетку Anime &amp; Van Gogh. Пшеничное поле с воронами</t>
  </si>
  <si>
    <t>467-0-159-20694-1</t>
  </si>
  <si>
    <t>4670159206941</t>
  </si>
  <si>
    <t>c5c42eb5e57a2d5ef3c5db8c9622dced</t>
  </si>
  <si>
    <t>236579</t>
  </si>
  <si>
    <t>MyArt. БЛОКНОТ в клетку Anime &amp; Van Gogh. Цветущие ветки миндаля</t>
  </si>
  <si>
    <t>467-0-159-20693-4</t>
  </si>
  <si>
    <t>4670159206934</t>
  </si>
  <si>
    <t>9f393d277a0f9443aad2c270b683b574</t>
  </si>
  <si>
    <t>СЕРИЯ: MyArt. БЛОКНОТ в клетку I love pink 40л мат.ламин, выб.лак, кругл.углы 140х200 (офсет 80гр)</t>
  </si>
  <si>
    <t>220846</t>
  </si>
  <si>
    <t>MyArt. БЛОКНОТ в клетку I love pink. В ободке</t>
  </si>
  <si>
    <t>467-0-159-12837-3</t>
  </si>
  <si>
    <t>4670159128373</t>
  </si>
  <si>
    <t>a27dae4ea8fba656d673ce486c6ec75a</t>
  </si>
  <si>
    <t>220847</t>
  </si>
  <si>
    <t>MyArt. БЛОКНОТ в клетку I love pink. Парочка</t>
  </si>
  <si>
    <t>467-0-159-12838-0</t>
  </si>
  <si>
    <t>4670159128380</t>
  </si>
  <si>
    <t>5ec67eb8bc589873bbaeda35cc5311f6</t>
  </si>
  <si>
    <t>220848</t>
  </si>
  <si>
    <t>MyArt. БЛОКНОТ в клетку I love pink. Розовые очки</t>
  </si>
  <si>
    <t>467-0-159-12839-7</t>
  </si>
  <si>
    <t>4670159128397</t>
  </si>
  <si>
    <t>b0e55eb5aa4ed74a536b97a19682455c</t>
  </si>
  <si>
    <t>220845</t>
  </si>
  <si>
    <t>MyArt. БЛОКНОТ в клетку I love pink. С листьями</t>
  </si>
  <si>
    <t>467-0-159-12836-6</t>
  </si>
  <si>
    <t>4670159128366</t>
  </si>
  <si>
    <t>bc95ea20baa37eeb8b27265c24b14928</t>
  </si>
  <si>
    <t>СЕРИЯ: MyArt. БЛОКНОТ в клетку My big notebook 48л выб.лак, кругл.углы 185х250 (офсет 80гр)</t>
  </si>
  <si>
    <t>226074</t>
  </si>
  <si>
    <t>MyArt. БЛОКНОТ в клетку My big notebook. Девочка в зелёном бомбере</t>
  </si>
  <si>
    <t>467-0-159-15614-7</t>
  </si>
  <si>
    <t>Представляем блокноты в клетку с героями аниме на обложках. Какой выберешь ты? Записывай мысли и планы, мечтай и достигай!</t>
  </si>
  <si>
    <t>4670159156147</t>
  </si>
  <si>
    <t>9630187d7c6d0e6398d5501bbc30de76</t>
  </si>
  <si>
    <t>28.11.2024 0:00:00</t>
  </si>
  <si>
    <t>185х250х5</t>
  </si>
  <si>
    <t>226073</t>
  </si>
  <si>
    <t>MyArt. БЛОКНОТ в клетку My big notebook. Девочка в наушниках</t>
  </si>
  <si>
    <t>467-0-159-15613-0</t>
  </si>
  <si>
    <t>4670159156130</t>
  </si>
  <si>
    <t>b0141c2c106e2635524052cf7dfc5d46</t>
  </si>
  <si>
    <t>226076</t>
  </si>
  <si>
    <t>MyArt. БЛОКНОТ в клетку My big notebook. Девочка с книгами</t>
  </si>
  <si>
    <t>467-0-159-15616-1</t>
  </si>
  <si>
    <t>4670159156161</t>
  </si>
  <si>
    <t>37e9879b8a873ba9e18760f755f687df</t>
  </si>
  <si>
    <t>29.11.2024 0:00:00</t>
  </si>
  <si>
    <t>226075</t>
  </si>
  <si>
    <t>MyArt. БЛОКНОТ в клетку My big notebook. Девочка с косой</t>
  </si>
  <si>
    <t>467-0-159-15615-4</t>
  </si>
  <si>
    <t>4670159156154</t>
  </si>
  <si>
    <t>9accc791f9c565557c0e5926850cd276</t>
  </si>
  <si>
    <t>СЕРИЯ: MyArt. БЛОКНОТ в клетку My notebook 40л мат.ламин, выб.лак, кругл.углы 140х200 (офсет 80гр)</t>
  </si>
  <si>
    <t>208693</t>
  </si>
  <si>
    <t>MyArt. БЛОКНОТ в клетку My notebook. Волк</t>
  </si>
  <si>
    <t>467-0-159-06367-4</t>
  </si>
  <si>
    <t xml:space="preserve">Блокноты с модными антропоморфными животными и листами в клетку в цвет обложки — стильная новинка для тех, кто записывает мысли, текущие дела и планы на будущее! </t>
  </si>
  <si>
    <t>4670159063674</t>
  </si>
  <si>
    <t>208694</t>
  </si>
  <si>
    <t>MyArt. БЛОКНОТ в клетку My notebook. Заяц</t>
  </si>
  <si>
    <t>467-0-159-06368-1</t>
  </si>
  <si>
    <t>4670159063681</t>
  </si>
  <si>
    <t>208695</t>
  </si>
  <si>
    <t>MyArt. БЛОКНОТ в клетку My notebook. Кошка</t>
  </si>
  <si>
    <t>467-0-159-06369-8</t>
  </si>
  <si>
    <t>4670159063698</t>
  </si>
  <si>
    <t>208696</t>
  </si>
  <si>
    <t>MyArt. БЛОКНОТ в клетку My notebook. Лама</t>
  </si>
  <si>
    <t>467-0-159-06370-4</t>
  </si>
  <si>
    <t>4670159063704</t>
  </si>
  <si>
    <t>СЕРИЯ: MyArt. БЛОКНОТ в клетку Ангелы в облаках 48л на гребне, выб.лак,резинка 104х146 (офсет 80гр)</t>
  </si>
  <si>
    <t>226107</t>
  </si>
  <si>
    <t>MyArt. БЛОКНОТ в клетку Ангелы в облаках. Cute</t>
  </si>
  <si>
    <t>467-0-159-15617-8</t>
  </si>
  <si>
    <t>Блокноты с девочками-ангелочками в стиле аниме и листами в розовую клетку - милая новинка для самых нежных и мечтательных. Записывайте мысли, текущие дела и планы на будущее!</t>
  </si>
  <si>
    <t>4670159156178</t>
  </si>
  <si>
    <t>3feed11adf0170f6429cb1d8ce4f76aa</t>
  </si>
  <si>
    <t>18.06.2024 0:00:00</t>
  </si>
  <si>
    <t>113х146х13</t>
  </si>
  <si>
    <t>226108</t>
  </si>
  <si>
    <t>MyArt. БЛОКНОТ в клетку Ангелы в облаках. Dreamy</t>
  </si>
  <si>
    <t>467-0-159-15618-5</t>
  </si>
  <si>
    <t>4670159156185</t>
  </si>
  <si>
    <t>11549069a72867395321b82f65795385</t>
  </si>
  <si>
    <t>226109</t>
  </si>
  <si>
    <t>MyArt. БЛОКНОТ в клетку Ангелы в облаках. Lovely</t>
  </si>
  <si>
    <t>467-0-159-15619-2</t>
  </si>
  <si>
    <t>4670159156192</t>
  </si>
  <si>
    <t>485869cc46002de24edf57e7cb79d70b</t>
  </si>
  <si>
    <t>226110</t>
  </si>
  <si>
    <t>MyArt. БЛОКНОТ в клетку Ангелы в облаках. Sweet</t>
  </si>
  <si>
    <t>467-0-159-15620-8</t>
  </si>
  <si>
    <t>4670159156208</t>
  </si>
  <si>
    <t>d20ffa7960999aca877a6b9d4a896a7e</t>
  </si>
  <si>
    <t>СЕРИЯ: MyArt. БЛОКНОТ в клетку Аниме 32л мат.ламин, выб.лак, кругл.углы 115х150 (офсет 80гр)</t>
  </si>
  <si>
    <t>223787</t>
  </si>
  <si>
    <t>MyArt. БЛОКНОТ в клетку Аниме 115x150. Гламурный взгляд</t>
  </si>
  <si>
    <t>467-0-159-14753-4</t>
  </si>
  <si>
    <t>Новые блокноты с анимешными девочками на обложках. Точнее, блокнотики! Невесомые и небольшого формата — удобно носить даже в маленькой сумочке или рюкзаке. Записывай важные дела, мысли и планы!</t>
  </si>
  <si>
    <t>4670159147534</t>
  </si>
  <si>
    <t>6bd0f6f6e91f31358109c18e4c000c1d</t>
  </si>
  <si>
    <t>223786</t>
  </si>
  <si>
    <t>MyArt. БЛОКНОТ в клетку Аниме 115x150. Загадочный взгляд</t>
  </si>
  <si>
    <t>467-0-159-14752-7</t>
  </si>
  <si>
    <t>4670159147527</t>
  </si>
  <si>
    <t>4d62021b87dc85fc5cb515e326d2419f</t>
  </si>
  <si>
    <t>223788</t>
  </si>
  <si>
    <t>MyArt. БЛОКНОТ в клетку Аниме 115x150. Модный взгляд</t>
  </si>
  <si>
    <t>467-0-159-14754-1</t>
  </si>
  <si>
    <t>4670159147541</t>
  </si>
  <si>
    <t>db38b843e27d30bc6f01631d04f6ce0c</t>
  </si>
  <si>
    <t>223789</t>
  </si>
  <si>
    <t>MyArt. БЛОКНОТ в клетку Аниме 115x150. Очаровательный взгляд</t>
  </si>
  <si>
    <t>467-0-159-14755-8</t>
  </si>
  <si>
    <t>4670159147558</t>
  </si>
  <si>
    <t>5c4a3417e5c3a0f500b771bb8a727538</t>
  </si>
  <si>
    <t>СЕРИЯ: MyArt. БЛОКНОТ в клетку Аниме 32л мат.ламин, выб.лак, кругл.углы 150х150 (офсет 80гр)</t>
  </si>
  <si>
    <t>217539</t>
  </si>
  <si>
    <t>MyArt. БЛОКНОТ в клетку Аниме. Голубой</t>
  </si>
  <si>
    <t>467-0-159-11193-1</t>
  </si>
  <si>
    <t xml:space="preserve">Представляем новые аниме-блокноты с клетчатыми страницами для записей, картинками для раскрашивания и готовыми панелями и пузырями для комиксов. Фиксируй главное, оживляй цветом героев и придумывай рисованные истории!  </t>
  </si>
  <si>
    <t>4670159111931</t>
  </si>
  <si>
    <t>b846e331960d565a580e4133bd051d5a</t>
  </si>
  <si>
    <t>150х150х5</t>
  </si>
  <si>
    <t>237864</t>
  </si>
  <si>
    <t>MyArt. БЛОКНОТ в клетку Аниме. Жёлтый</t>
  </si>
  <si>
    <t>467-0-159-21247-8</t>
  </si>
  <si>
    <t>4670159212478</t>
  </si>
  <si>
    <t>5a222e3a06a8fce13045e76c02209895</t>
  </si>
  <si>
    <t>217541</t>
  </si>
  <si>
    <t>MyArt. БЛОКНОТ в клетку Аниме. Красный</t>
  </si>
  <si>
    <t>467-0-159-11195-5</t>
  </si>
  <si>
    <t>4670159111955</t>
  </si>
  <si>
    <t>98600e7948317d770f179cdbbf318fad</t>
  </si>
  <si>
    <t>217542</t>
  </si>
  <si>
    <t>MyArt. БЛОКНОТ в клетку Аниме. Фиолетовый</t>
  </si>
  <si>
    <t>467-0-159-11196-2</t>
  </si>
  <si>
    <t>4670159111962</t>
  </si>
  <si>
    <t>f0696b3823ba213606d01fc6398224b7</t>
  </si>
  <si>
    <t>СЕРИЯ: MyArt. БЛОКНОТ в клетку Аниме Монохром 40л мат.лам, выб.лак, кругл.углы 140х200 (офсет 80гр)</t>
  </si>
  <si>
    <t>223803</t>
  </si>
  <si>
    <t>MyArt. БЛОКНОТ в клетку Аниме Монохром. Битва взглядов</t>
  </si>
  <si>
    <t>467-0-159-14841-8</t>
  </si>
  <si>
    <t>В поисках идеальной тетради для средней, старшей школы или офиса? Представляем вам новую серию красивых тетрадей, в каждой из которых плотная картонная обложка с блестящими монохромными иллюстрациями в стиле аниме и 40 листов белоснежной бумаги с четкой тёмно-серой клеткой. Тетради подходят для письма шариковыми, гелевыми или капиллярными ручками. Тип скрепления - скоба.</t>
  </si>
  <si>
    <t>4670159148418</t>
  </si>
  <si>
    <t>b947be0e011efbf2d57a624f8b0d1b89</t>
  </si>
  <si>
    <t>223802</t>
  </si>
  <si>
    <t>MyArt. БЛОКНОТ в клетку Аниме Монохром. Девочка с котиком</t>
  </si>
  <si>
    <t>467-0-159-14839-5</t>
  </si>
  <si>
    <t>4670159148395</t>
  </si>
  <si>
    <t>92b31af8742cda257216c23f72c7e009</t>
  </si>
  <si>
    <t>223801</t>
  </si>
  <si>
    <t>MyArt. БЛОКНОТ в клетку Аниме Монохром. Смущение</t>
  </si>
  <si>
    <t>467-0-159-14838-8</t>
  </si>
  <si>
    <t>4670159148388</t>
  </si>
  <si>
    <t>b4be6d0ce412910fd6824f6e00525a5c</t>
  </si>
  <si>
    <t>223804</t>
  </si>
  <si>
    <t>MyArt. БЛОКНОТ в клетку Аниме Монохром. Школьница</t>
  </si>
  <si>
    <t>467-0-159-14842-5</t>
  </si>
  <si>
    <t>4670159148425</t>
  </si>
  <si>
    <t>a58f02440a29f3e8bf5b47ea46c0d757</t>
  </si>
  <si>
    <t>СЕРИЯ: MyArt. БЛОКНОТ в клетку В тренде 40л КБС, выбор.лак, кругл.углы 120х180 (офсет 80гр)</t>
  </si>
  <si>
    <t>216556</t>
  </si>
  <si>
    <t>MyArt. БЛОКНОТ в клетку В тренде. Весёлый сиба-ину</t>
  </si>
  <si>
    <t>467-0-159-11102-3</t>
  </si>
  <si>
    <t>Новая серия блокнотов в клетку MyArt — это яркие обложки и модные персонажи. Выбери дизайн, который подойдет именно тебе. Записывай свои мысли, планы и мечты и будь в тренде!</t>
  </si>
  <si>
    <t>4670159111023</t>
  </si>
  <si>
    <t>122х180х5</t>
  </si>
  <si>
    <t>216555</t>
  </si>
  <si>
    <t>MyArt. БЛОКНОТ в клетку В тренде. Кот-модель</t>
  </si>
  <si>
    <t>467-0-159-11101-6</t>
  </si>
  <si>
    <t>4670159111016</t>
  </si>
  <si>
    <t>СЕРИЯ: MyArt. БЛОКНОТ в клетку Витражи 40л мат.ламин, выб.лак, кругл.углы 140х200 (офсет 80гр)</t>
  </si>
  <si>
    <t>231795</t>
  </si>
  <si>
    <t>MyArt. БЛОКНОТ в клетку Витражи. Девушка эльф</t>
  </si>
  <si>
    <t>467-0-159-17930-6</t>
  </si>
  <si>
    <t>4670159179306</t>
  </si>
  <si>
    <t>bb20b94fe55e89284293812a77ef433c</t>
  </si>
  <si>
    <t>139х200х6</t>
  </si>
  <si>
    <t>231799</t>
  </si>
  <si>
    <t>MyArt. БЛОКНОТ в клетку Витражи. Кошка</t>
  </si>
  <si>
    <t>467-0-159-17932-0</t>
  </si>
  <si>
    <t>4670159179320</t>
  </si>
  <si>
    <t>682d55b16f69bda94fd156fab633ed66</t>
  </si>
  <si>
    <t>231800</t>
  </si>
  <si>
    <t>MyArt. БЛОКНОТ в клетку Витражи. Лев</t>
  </si>
  <si>
    <t>467-0-159-17933-7</t>
  </si>
  <si>
    <t>4670159179337</t>
  </si>
  <si>
    <t>3dc684c93b1a52e41fddb8b15e0e7cc4</t>
  </si>
  <si>
    <t>231797</t>
  </si>
  <si>
    <t>MyArt. БЛОКНОТ в клетку Витражи. Лотос</t>
  </si>
  <si>
    <t>467-0-159-17931-3</t>
  </si>
  <si>
    <t>4670159179313</t>
  </si>
  <si>
    <t>9ba3d553d7a818ae88d25910cd14d9f7</t>
  </si>
  <si>
    <t>СЕРИЯ: MyArt. БЛОКНОТ в клетку Дивный Восток 168л, выб.лак,круг.углы, цвет.обрез,7БЦ 145x203 (80гр)</t>
  </si>
  <si>
    <t>249296</t>
  </si>
  <si>
    <t>MyArt. БЛОКНОТ в клетку Дивный Восток. Взгляд ночи</t>
  </si>
  <si>
    <t>467-0-159-25648-9</t>
  </si>
  <si>
    <t>Привнеси в свою жизнь магию восточной сказки!
Новая серия невероятно красивых блокнотов перенесёт вас в загадочный и такой притягательный мир Дивного Востока. Отважный повелитель дюн или вольная птица пустыни, таинственный взгляд ночи или караван бесстрашных путников – выбери тот дизайн, который подходит именно тебе. Цветные срезы дополняют изысканное оформление обложек.  А благодаря внутреннему блоку в клетку эти блокноты станут не только стильным, но и практичным аксессуаром.</t>
  </si>
  <si>
    <t>4670159256489</t>
  </si>
  <si>
    <t>2475a4d6322203279710e631b3ec77ea</t>
  </si>
  <si>
    <t>145x203x21</t>
  </si>
  <si>
    <t>249297</t>
  </si>
  <si>
    <t>MyArt. БЛОКНОТ в клетку Дивный Восток. Караван</t>
  </si>
  <si>
    <t xml:space="preserve">467-0-159-25649-6 </t>
  </si>
  <si>
    <t xml:space="preserve">4670159256496 </t>
  </si>
  <si>
    <t>0a3c03731a3bf79a0c61a335a6f0c34b</t>
  </si>
  <si>
    <t>249299</t>
  </si>
  <si>
    <t>MyArt. БЛОКНОТ в клетку Дивный Восток. Птица пустыни</t>
  </si>
  <si>
    <t>467-0-159-25651-9</t>
  </si>
  <si>
    <t>4670159256519</t>
  </si>
  <si>
    <t>5773965971201a79dcea0a435bf12425</t>
  </si>
  <si>
    <t>СЕРИЯ: MyArt. БЛОКНОТ в клетку Дутыши 64л КБС, глянц.ламин, кругл.углы 120х180 (офсет 80гр)</t>
  </si>
  <si>
    <t>236561</t>
  </si>
  <si>
    <t>MyArt. БЛОКНОТ в клетку Дутыши. Звёзды(голубой)</t>
  </si>
  <si>
    <t>467-0-159-20712-2</t>
  </si>
  <si>
    <t>Новая серия блокнотов в клетку Дутыши — это яркие обложки. Выбери дизайн, который подойдет именно тебе. Записывай свои мысли, планы и мечты и будь в тренде!</t>
  </si>
  <si>
    <t>4670159207122</t>
  </si>
  <si>
    <t>1ba825f670dbfcf193f9a8863b9dfd57</t>
  </si>
  <si>
    <t>120х180х8</t>
  </si>
  <si>
    <t>236564</t>
  </si>
  <si>
    <t>MyArt. БЛОКНОТ в клетку Дутыши. Звёзды(жёлтый)</t>
  </si>
  <si>
    <t>467-0-159-20714-6</t>
  </si>
  <si>
    <t>4670159207146</t>
  </si>
  <si>
    <t>1f9d18bbf3df1fe5ab7ca2abfc3773ab</t>
  </si>
  <si>
    <t>236565</t>
  </si>
  <si>
    <t>MyArt. БЛОКНОТ в клетку Дутыши. Ромашки</t>
  </si>
  <si>
    <t>467-0-159-20715-3</t>
  </si>
  <si>
    <t>4670159207153</t>
  </si>
  <si>
    <t>4e238c80aaaceb3018a70b818c1f7508</t>
  </si>
  <si>
    <t>СЕРИЯ: MyArt. БЛОКНОТ в клетку Милашки 48л гл.ламин, пухл, кругл.углы 130х190 (офсет 100гр)</t>
  </si>
  <si>
    <t>256223</t>
  </si>
  <si>
    <t>MyArt. БЛОКНОТ в клетку Милашки. Белый медвежонок</t>
  </si>
  <si>
    <t>467-0-159-27055-3</t>
  </si>
  <si>
    <t>Новая серия MyArt «Милашки» с глянцевой пухлой обложкой нежных оттенков и скругленными уголками. Выберите своего любимца: радостный Белый медвежонок, нежный Белый зайка, игривый Котёнок и забавный Корги. В каждом блокноте 48 листов в серую клетку. Идеальный подарок или комплект для творчества и заметок!</t>
  </si>
  <si>
    <t>4670159270553</t>
  </si>
  <si>
    <t>83cee3ae83bac89aedf82e4d2ccbbe14</t>
  </si>
  <si>
    <t>130х190х11</t>
  </si>
  <si>
    <t>256226</t>
  </si>
  <si>
    <t>MyArt. БЛОКНОТ в клетку Милашки. Корги</t>
  </si>
  <si>
    <t>467-0-159-27058-4</t>
  </si>
  <si>
    <t>4670159270584</t>
  </si>
  <si>
    <t>8555e04f7216948af998fe5306a88f3c</t>
  </si>
  <si>
    <t>256225</t>
  </si>
  <si>
    <t>MyArt. БЛОКНОТ в клетку Милашки. Котёнок</t>
  </si>
  <si>
    <t>467-0-159-27057-7</t>
  </si>
  <si>
    <t>4670159270577</t>
  </si>
  <si>
    <t>191fa547946d78d11dbe9fdba32d28ec</t>
  </si>
  <si>
    <t>СЕРИЯ: MyArt. БЛОКНОТ в клетку Мой мини блокнот 32л мат.ламин, выб.лак, круг.углы 130х155 (офсет 80)</t>
  </si>
  <si>
    <t>240167</t>
  </si>
  <si>
    <t>MyArt. БЛОКНОТ в клетку Мой мини блокнот. Голубой</t>
  </si>
  <si>
    <t>467-0-159-21903-3</t>
  </si>
  <si>
    <t>Представляем стильные мини-блокноты с листами в клетку. Какой выберешь ты? Записывай мысли и планы, мечтай и достигай!</t>
  </si>
  <si>
    <t>4670159219033</t>
  </si>
  <si>
    <t>a9ed83cb1bc54578c663d3b3cb6b680d</t>
  </si>
  <si>
    <t>130х155х5</t>
  </si>
  <si>
    <t>240164</t>
  </si>
  <si>
    <t>MyArt. БЛОКНОТ в клетку Мой мини блокнот. Зелёный</t>
  </si>
  <si>
    <t>467-0-159-21901-9</t>
  </si>
  <si>
    <t>4670159219019</t>
  </si>
  <si>
    <t>df26043ef2d790789b82868c75b88860</t>
  </si>
  <si>
    <t>240168</t>
  </si>
  <si>
    <t>MyArt. БЛОКНОТ в клетку Мой мини блокнот. Розовый</t>
  </si>
  <si>
    <t>467-0-159-21904-0</t>
  </si>
  <si>
    <t>4670159219040</t>
  </si>
  <si>
    <t>cf5c4e7a3a3c686f61867f1e9e3e65fd</t>
  </si>
  <si>
    <t>240166</t>
  </si>
  <si>
    <t>MyArt. БЛОКНОТ в клетку Мой мини блокнот. Фиолетовый</t>
  </si>
  <si>
    <t>467-0-159-21902-6</t>
  </si>
  <si>
    <t>4670159219026</t>
  </si>
  <si>
    <t>fe4c033c63968720b0ef2052f25d0190</t>
  </si>
  <si>
    <t>СЕРИЯ: MyArt. БЛОКНОТ в клетку Тренд Тетрадь 40л глянц.ламин, кругл.углы 140х200 (офсет 80гр)</t>
  </si>
  <si>
    <t>236573</t>
  </si>
  <si>
    <t>MyArt. БЛОКНОТ в клетку Тренд Тетрадь. Собачки</t>
  </si>
  <si>
    <t>467-0-159-20709-2</t>
  </si>
  <si>
    <t>4670159207092</t>
  </si>
  <si>
    <t>9e273c17776efe07db62045452c6c052</t>
  </si>
  <si>
    <t xml:space="preserve"> MyArt. Блокноты в линию</t>
  </si>
  <si>
    <t>СЕРИЯ: MyArt. БЛОКНОТ в линию 64л выб.лак, кругл.углы, индивид.упак, 7БЦ 120х180 (бумага 120гр)</t>
  </si>
  <si>
    <t>206279</t>
  </si>
  <si>
    <t>MyArt. БЛОКНОТ в линию 64л. E-GIRL</t>
  </si>
  <si>
    <t>467-0-159-04806-0</t>
  </si>
  <si>
    <t>Блокноты в твердом переплете с плотными листами в линию — практичная новинка для тех, кто записывает мысли, текущие дела и планы на будущее!</t>
  </si>
  <si>
    <t>4670159048060</t>
  </si>
  <si>
    <t>116х180х13</t>
  </si>
  <si>
    <t>СЕРИЯ: MyArt. БЛОКНОТ в линию Anime &amp; Van Gogh 40л выб.лак, мат.лам, кругл.углы 140х200 (офсет 80г)</t>
  </si>
  <si>
    <t>223777</t>
  </si>
  <si>
    <t>MyArt. БЛОКНОТ в линию Anime &amp; Van Gogh. Звёздная ночь. Огненый шар</t>
  </si>
  <si>
    <t>467-0-159-14748-0</t>
  </si>
  <si>
    <t>Что, если объединить два наших хита: Ван Гога и аниме? Тогда получится новая серия блокнотов MY ART! Всемирно известные сюжеты, яркие краски, женственные образы — это всё Anime &amp; Van Gogh.</t>
  </si>
  <si>
    <t>4670159147480</t>
  </si>
  <si>
    <t>fafecb59c1eab7841d93c2e216406cf9</t>
  </si>
  <si>
    <t>223779</t>
  </si>
  <si>
    <t>MyArt. БЛОКНОТ в линию Anime &amp; Van Gogh. Звёздная ночь. Полёт</t>
  </si>
  <si>
    <t>467-0-159-14749-7</t>
  </si>
  <si>
    <t>4670159147497</t>
  </si>
  <si>
    <t>e6fb952d1ae79fbf7511758f2a572e16</t>
  </si>
  <si>
    <t>223780</t>
  </si>
  <si>
    <t>MyArt. БЛОКНОТ в линию Anime &amp; Van Gogh. Ирисы</t>
  </si>
  <si>
    <t>467-0-159-14750-3</t>
  </si>
  <si>
    <t>4670159147503</t>
  </si>
  <si>
    <t>1deb435d174d065758b46e28613df865</t>
  </si>
  <si>
    <t>223781</t>
  </si>
  <si>
    <t>MyArt. БЛОКНОТ в линию Anime &amp; Van Gogh. Подсолнухи</t>
  </si>
  <si>
    <t>467-0-159-14751-0</t>
  </si>
  <si>
    <t>4670159147510</t>
  </si>
  <si>
    <t>af0347e1043c9f4f5c7a201ab9fc47bc</t>
  </si>
  <si>
    <t>СЕРИЯ: MyArt. БЛОКНОТ в линию Black &amp; Pink 40л выб.лак, кругл.углы 135х200 (офсет 80г)</t>
  </si>
  <si>
    <t>223744</t>
  </si>
  <si>
    <t>MyArt. БЛОКНОТ в линию Black &amp; Pink. Глаза в глаза</t>
  </si>
  <si>
    <t>467-0-159-14835-7</t>
  </si>
  <si>
    <t>Что выбрать: быть интро- или экстравертом? Грустный или весёлый смайлик? Чёрный или розовый цвет? Выбирать не надо. Можно всё и сразу! Как в серии наших блокнотов в линию от MyArt. Удобный формат 13,5х20 см, 40 листов офсетной бумаги, выборочный лак на обложке — составляющие успеха серии Black &amp; Pink!</t>
  </si>
  <si>
    <t>4670159148357</t>
  </si>
  <si>
    <t>135х200х5</t>
  </si>
  <si>
    <t>223745</t>
  </si>
  <si>
    <t>MyArt. БЛОКНОТ в линию Black &amp; Pink. Девочка с кроликом</t>
  </si>
  <si>
    <t>467-0-159-14836-4</t>
  </si>
  <si>
    <t>4670159148364</t>
  </si>
  <si>
    <t>212766</t>
  </si>
  <si>
    <t>MyArt. БЛОКНОТ в линию Black &amp; Pink. НеЗая</t>
  </si>
  <si>
    <t>467-0-159-08628-4</t>
  </si>
  <si>
    <t>4670159086284</t>
  </si>
  <si>
    <t>c60193caff3a38b5bd29b47be3521dcd</t>
  </si>
  <si>
    <t>212771</t>
  </si>
  <si>
    <t>MyArt. БЛОКНОТ в линию Black &amp; Pink. Сердечко</t>
  </si>
  <si>
    <t>467-0-159-08631-4</t>
  </si>
  <si>
    <t>4670159086314</t>
  </si>
  <si>
    <t>63468978f972c7275792f5d28a064565</t>
  </si>
  <si>
    <t>СЕРИЯ: MyArt. БЛОКНОТ в линию Body Art 40л выб.лак, тиснение, кругл.углы 140х200 (офсет 80гр)</t>
  </si>
  <si>
    <t>228072</t>
  </si>
  <si>
    <t>MyArt. БЛОКНОТ в линию Body Art. Дракон</t>
  </si>
  <si>
    <t>467-0-159-16704-4</t>
  </si>
  <si>
    <t>4670159167044</t>
  </si>
  <si>
    <t>46b06a04f004203744b7996b1525cda4</t>
  </si>
  <si>
    <t>228078</t>
  </si>
  <si>
    <t>MyArt. БЛОКНОТ в линию Body Art. Змея</t>
  </si>
  <si>
    <t>467-0-159-16707-5</t>
  </si>
  <si>
    <t>4670159167075</t>
  </si>
  <si>
    <t>b2202af816a07ab0630c17bfb5d8df18</t>
  </si>
  <si>
    <t>228076</t>
  </si>
  <si>
    <t>MyArt. БЛОКНОТ в линию Body Art. Рыбы</t>
  </si>
  <si>
    <t>467-0-159-16706-8</t>
  </si>
  <si>
    <t>4670159167068</t>
  </si>
  <si>
    <t>ea59b04c943a201474251c8e86be99a3</t>
  </si>
  <si>
    <t>228074</t>
  </si>
  <si>
    <t>MyArt. БЛОКНОТ в линию Body Art. Цветы</t>
  </si>
  <si>
    <t>467-0-159-16705-1</t>
  </si>
  <si>
    <t>4670159167051</t>
  </si>
  <si>
    <t>8c95766aed15e193d7747b56d6e3120e</t>
  </si>
  <si>
    <t>СЕРИЯ: MyArt. БЛОКНОТ в линию Classic 64л лён, кругл.углы, резинка, индив.уп, 130х210 (бум 80гр)</t>
  </si>
  <si>
    <t>222898</t>
  </si>
  <si>
    <t>MyArt. БЛОКНОТ в линию Classic. Зелёный</t>
  </si>
  <si>
    <t>467-0-159-13389-6</t>
  </si>
  <si>
    <t xml:space="preserve">Для стильных и деловых! Выбирайте блокноты с минималистичным оформлением, записывайте мысли и планы, мечтайте и достигайте! </t>
  </si>
  <si>
    <t>4670159133896</t>
  </si>
  <si>
    <t>6be1e48b736a25bdd13cbf9e4dc5e4c7</t>
  </si>
  <si>
    <t>13.05.2024 0:00:00</t>
  </si>
  <si>
    <t>лён+матовая ламинация</t>
  </si>
  <si>
    <t>130х210х11</t>
  </si>
  <si>
    <t>222896</t>
  </si>
  <si>
    <t>MyArt. БЛОКНОТ в линию Classic. Красный</t>
  </si>
  <si>
    <t>467-0-159-13387-2</t>
  </si>
  <si>
    <t>4670159133872</t>
  </si>
  <si>
    <t>191d47646989923ba465a32717da3941</t>
  </si>
  <si>
    <t>222897</t>
  </si>
  <si>
    <t>MyArt. БЛОКНОТ в линию Classic. Синий</t>
  </si>
  <si>
    <t>467-0-159-13388-9</t>
  </si>
  <si>
    <t>4670159133889</t>
  </si>
  <si>
    <t>defe46347da5c8c41cd10e5c29ce3a99</t>
  </si>
  <si>
    <t>16.05.2024 0:00:00</t>
  </si>
  <si>
    <t>222895</t>
  </si>
  <si>
    <t>MyArt. БЛОКНОТ в линию Classic. Чёрный</t>
  </si>
  <si>
    <t>467-0-159-13386-5</t>
  </si>
  <si>
    <t>4670159133865</t>
  </si>
  <si>
    <t>d6008c41ef68ee3a9bce81e55e5e6cce</t>
  </si>
  <si>
    <t>СЕРИЯ: MyArt. БЛОКНОТ в линию В тренде 40л мат.ламин, выб.лак, кругл.углы 140х200 (бумага 80гр)</t>
  </si>
  <si>
    <t>216200</t>
  </si>
  <si>
    <t>MyArt. БЛОКНОТ в линию В тренде. Капибара</t>
  </si>
  <si>
    <t>467-0-159-10989-1</t>
  </si>
  <si>
    <t>Новая серия блокнотов в линию MyArt — это яркие обложки и модные дерзкие персонажи. Выбери дизайн, который подойдет именно тебе. Записывай свои мысли, планы и мечты и будь в тренде!</t>
  </si>
  <si>
    <t>4670159109891</t>
  </si>
  <si>
    <t>a66d62e702039306a97d66daac16272c</t>
  </si>
  <si>
    <t>СЕРИЯ: MyArt. БЛОКНОТ в линию Мировые шедевры 40л выб.лак, кругл.углы, 140х200 (бум 80гр)</t>
  </si>
  <si>
    <t>222902</t>
  </si>
  <si>
    <t>MyArt. БЛОКНОТ в линию Мировые шедевры. Ирисы</t>
  </si>
  <si>
    <t>467-0-159-14026-9</t>
  </si>
  <si>
    <t>4670159140269</t>
  </si>
  <si>
    <t>04bbec6fbc02d53cfddfa2d07a7a2919</t>
  </si>
  <si>
    <t>222901</t>
  </si>
  <si>
    <t>MyArt. БЛОКНОТ в линию Мировые шедевры. Подсолнухи</t>
  </si>
  <si>
    <t>467-0-159-14025-2</t>
  </si>
  <si>
    <t>4670159140252</t>
  </si>
  <si>
    <t>254f122de439b6c9e8d91574e5725839</t>
  </si>
  <si>
    <t>СЕРИЯ: MyArt. БЛОКНОТ в линию Яркие девочки Аниме 32л выб.лак, кругл.углы 115х150 (офсет 80гр)</t>
  </si>
  <si>
    <t>228436</t>
  </si>
  <si>
    <t>MyArt. БЛОКНОТ в линию Яркие девочки Аниме. Девочка с бирюзовыми волосами</t>
  </si>
  <si>
    <t>467-0-159-17047-1</t>
  </si>
  <si>
    <t>4670159170471</t>
  </si>
  <si>
    <t>7d285a0011d5541bf7f803d6817ac476</t>
  </si>
  <si>
    <t>116х150х5</t>
  </si>
  <si>
    <t>228437</t>
  </si>
  <si>
    <t>MyArt. БЛОКНОТ в линию Яркие девочки Аниме. Девочка с жёлтыми волосами</t>
  </si>
  <si>
    <t>467-0-159-17048-8</t>
  </si>
  <si>
    <t>4670159170488</t>
  </si>
  <si>
    <t>24266bb37b7409b71373aece5980aaf8</t>
  </si>
  <si>
    <t>228439</t>
  </si>
  <si>
    <t>MyArt. БЛОКНОТ в линию Яркие девочки Аниме. Девочка с пшеничными волосами</t>
  </si>
  <si>
    <t>467-0-159-17049-5</t>
  </si>
  <si>
    <t>4670159170495</t>
  </si>
  <si>
    <t>96a29bafcc0a400ed873c98e8ecb6f27</t>
  </si>
  <si>
    <t>228435</t>
  </si>
  <si>
    <t>MyArt. БЛОКНОТ в линию Яркие девочки Аниме. Девочка с розовыми волосами</t>
  </si>
  <si>
    <t>467-0-159-17046-4</t>
  </si>
  <si>
    <t>4670159170464</t>
  </si>
  <si>
    <t>ba8e50d7f6e621a182784c4648681ffa</t>
  </si>
  <si>
    <t xml:space="preserve"> MyArt. Планинги</t>
  </si>
  <si>
    <t>СЕРИЯ: MyArt. ПЛАНИНГ А5 КБС 48л глянц.ламин 160х195 (бумага 100гр)</t>
  </si>
  <si>
    <t>185026</t>
  </si>
  <si>
    <t>MyArt. ПЛАНИНГ А5 КБС. Nail ПЛАНЕР МАСТЕРА МАНИКЮРА</t>
  </si>
  <si>
    <t xml:space="preserve">462-0-129-74096-8 </t>
  </si>
  <si>
    <t>Стильные планеры разработаны специально для мастеров маникюра. Продуманное наполнение и яркая обложка с индивидуальным дизайном сделают работу не только удобной, но и приятной. Мы заботимся о тех, кто делает этот мир красивее.</t>
  </si>
  <si>
    <t>4620129740968</t>
  </si>
  <si>
    <t>160х195х8</t>
  </si>
  <si>
    <t>185025</t>
  </si>
  <si>
    <t>MyArt. ПЛАНИНГ А5 КБС. ПЛАНИНГ МАСТЕРА Nails</t>
  </si>
  <si>
    <t xml:space="preserve">462-0-129-74095-1 </t>
  </si>
  <si>
    <t xml:space="preserve">4620129740951 </t>
  </si>
  <si>
    <t xml:space="preserve"> MyArt. Скетчбуки</t>
  </si>
  <si>
    <t xml:space="preserve"> MyArt. Скетчбуки на гребне</t>
  </si>
  <si>
    <t>CЕРИЯ: MyArt. Fashion СКЕТЧБУК на гребне 40л мат.ламин, выбор.лак, 225х174 (бумага 150гр)</t>
  </si>
  <si>
    <t>158822</t>
  </si>
  <si>
    <t>My Art. Fashion СКЕТЧБУК на гребне. Дуэт</t>
  </si>
  <si>
    <t>461-0-144-80933-7</t>
  </si>
  <si>
    <t>Скетчбук этой серии подойдет для эскизов как профессиональных, так и начинающих фэшн дизайнеров. Плотные листы позволяют рисовать не только карандашом, но и маркерами.</t>
  </si>
  <si>
    <t>4610144809337</t>
  </si>
  <si>
    <t>6ec88e83735abd11d4b997eb26eb2178</t>
  </si>
  <si>
    <t>225х174x16</t>
  </si>
  <si>
    <t>158825</t>
  </si>
  <si>
    <t>My Art. Fashion СКЕТЧБУК на гребне. Модель с сумкой</t>
  </si>
  <si>
    <t>461-0-144-80936-8</t>
  </si>
  <si>
    <t>4610144809368</t>
  </si>
  <si>
    <t>29ccfd6183827a163f1a26b650e870fb</t>
  </si>
  <si>
    <t>158824</t>
  </si>
  <si>
    <t>My Art. Fashion СКЕТЧБУК на гребне. Подиум</t>
  </si>
  <si>
    <t>461-0-144-80935-1</t>
  </si>
  <si>
    <t>4610144809351</t>
  </si>
  <si>
    <t>82d364036ee08a08a1d301d4c446f499</t>
  </si>
  <si>
    <t>СЕРИЯ: MyArt. АНИМЕ СКЕТЧБУК 64л на гребне, мат.ламин. выб.лак, кругл.углы 150х196 (бум 120гр)</t>
  </si>
  <si>
    <t>199868</t>
  </si>
  <si>
    <t>MyArt. АНИМЕ СКЕТЧБУК на гребне. Жизнь в гаджетах</t>
  </si>
  <si>
    <t>467-0-159-01590-1</t>
  </si>
  <si>
    <t>Ты поклонник аниме и живешь «на стиле»? Тогда наши новые скетчбуки на гребне для тебя! Суперъяркие обложки с модными девчонками-чиби поднимут настроение и вдохновят на невероятные творческие свершения!</t>
  </si>
  <si>
    <t>4670159015901</t>
  </si>
  <si>
    <t>163х196х24</t>
  </si>
  <si>
    <t>199867</t>
  </si>
  <si>
    <t>MyArt. АНИМЕ СКЕТЧБУК на гребне. На стиле</t>
  </si>
  <si>
    <t>467-0-159-01589-5</t>
  </si>
  <si>
    <t>4670159015895</t>
  </si>
  <si>
    <t>199866</t>
  </si>
  <si>
    <t>MyArt. АНИМЕ СКЕТЧБУК на гребне. Сладкие мечты</t>
  </si>
  <si>
    <t>467-0-159-01588-8</t>
  </si>
  <si>
    <t>4670159015888</t>
  </si>
  <si>
    <t>199872</t>
  </si>
  <si>
    <t>MyArt. АНИМЕ СКЕТЧБУК на гребне. Фанатка мишек</t>
  </si>
  <si>
    <t>467-0-159-01591-8</t>
  </si>
  <si>
    <t>4670159015918</t>
  </si>
  <si>
    <t>СЕРИЯ: MyArt. СКЕТЧБУК А4 на гребне 64л, глянц, ламин, кругл.углы 205х305 (бум 120гр)</t>
  </si>
  <si>
    <t>206255</t>
  </si>
  <si>
    <t>MyArt. СКЕТЧБУК А4 на гребне. АНИМЕ. LOVE STORY</t>
  </si>
  <si>
    <t>467-0-159-05245-6</t>
  </si>
  <si>
    <t>Представляем серию скетчбуков макси-формата в стиле аниме. Дизайн обложек порадует поклонников японской анимации, твердый переплет обеспечит практичность и долговечность, а крепление на гребне – удобство в использовании.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а еще выдержит многократное стирание ластиком.</t>
  </si>
  <si>
    <t>4670159052456</t>
  </si>
  <si>
    <t>443bec377645fb7ca1fc7f434f843be4</t>
  </si>
  <si>
    <t>205х310х25</t>
  </si>
  <si>
    <t>206253</t>
  </si>
  <si>
    <t>MyArt. СКЕТЧБУК А4 на гребне. АНИМЕ. АНГЕЛ ГРЕЗ</t>
  </si>
  <si>
    <t>467-0-159-05244-9</t>
  </si>
  <si>
    <t>4670159052449</t>
  </si>
  <si>
    <t>62d16294b1a3978c2bf7f06ca7045080</t>
  </si>
  <si>
    <t>СЕРИЯ: MyArt. СКЕТЧБУК для АКВАРЕЛИ А5 на гребне 20л, выб.лак, мат.лам. 140х205 (бумага 200гр)</t>
  </si>
  <si>
    <t>237877</t>
  </si>
  <si>
    <t>MyArt. СКЕТЧБУК для АКВАРЕЛИ А5 на гребне. РЯБИНОВЫЙ ВЕНОК</t>
  </si>
  <si>
    <t>467-0-159-20865-5</t>
  </si>
  <si>
    <t>Новая серия скетчбуков MyArt для акварели формата А5 является отличным средством для художественного самовыражения. Идеальное сочетание практичности, высокого качества и удобства делает эти скетчбуки необходимыми для художников с любым уровнем подготовки. Каждый блокнот содержит 20 страниц из 100% целлюлозы с плотностью 200 г/м², что позволяет безопасно работать с акварелью, не беспокоясь о протеканиях или искажениях, а также обеспечивает долговечность ваших работ. Удобный размер 148х210 мм, плотная основа и стильное бронзовое крепление на гребне делают эту серию подходящей для использования на творческих встречах, в поездках или на пленэрах, позволяя раскрывать их на 360 градусов для комфортного рисования. Серия скетчбуков MyArt для акварели — это выбор настоящих художников, стремящихся передать свои эмоции через акварельные произведения! Творчество всегда рядом!</t>
  </si>
  <si>
    <t>4670159208655</t>
  </si>
  <si>
    <t>7f37b1ca16134f326f508c9d691e718c</t>
  </si>
  <si>
    <t>140х205х10</t>
  </si>
  <si>
    <t>СЕРИЯ: MyArt. СКЕТЧБУК для АКВАРЕЛИ на гребне 20л, выб.лак, 200х200 (бумага 200гр)</t>
  </si>
  <si>
    <t>218626</t>
  </si>
  <si>
    <t>MyArt. СКЕТЧБУК для АКВАРЕЛИ на гребне. ЛЕВ В КОРОНЕ</t>
  </si>
  <si>
    <t>467-0-159-11826-8</t>
  </si>
  <si>
    <t>Новая серия скетчбуков MyArt для акварели - идеальный инструмент для творчества. Сочетание практичности, качества и удобства делает эту серию незаменимой для художников всех уровней и опыта. В скетчбуках 20 листов из 100% целлюлозы плотностью 200 г/м, что позволяет работать с акварелью без опасения о протечках или искажениях, а так же сохранить ваши работы на долгие годы.Благодаря удобному квадратному формату, размеру 20х20 см, плотной подложке и креплению на стильном гребне цвета бронзы скетчбуки будет легко брать с собой на творческие встречи, в любую поездку или на пленэр, делая зарисовки, раскрыв скетчбук на 360 градусов. Серия скетчбуков MyArt для акварели с листами 200 г/м 100% целлюлоза - это выбор истинных художников, которые стремятся выразить свои эмоции и творческую энергию через акварельные картины. Позвольте этой серии стать вашим надежным спутником в искусстве!</t>
  </si>
  <si>
    <t>4670159118268</t>
  </si>
  <si>
    <t>205х200х13</t>
  </si>
  <si>
    <t>218628</t>
  </si>
  <si>
    <t>MyArt. СКЕТЧБУК для АКВАРЕЛИ на гребне. ЛЕОПАРД В ВЕНКЕ</t>
  </si>
  <si>
    <t>467-0-159-11828-2</t>
  </si>
  <si>
    <t>4670159118282</t>
  </si>
  <si>
    <t>218627</t>
  </si>
  <si>
    <t>MyArt. СКЕТЧБУК для АКВАРЕЛИ на гребне. ЛОШАДЬ В ЦВЕТАХ</t>
  </si>
  <si>
    <t>467-0-159-11827-5</t>
  </si>
  <si>
    <t>4670159118275</t>
  </si>
  <si>
    <t>218629</t>
  </si>
  <si>
    <t>MyArt. СКЕТЧБУК для АКВАРЕЛИ на гребне. ЯГНЁНОК В РОЗАХ</t>
  </si>
  <si>
    <t>467-0-159-11830-5</t>
  </si>
  <si>
    <t>4670159118305</t>
  </si>
  <si>
    <t>СЕРИЯ: MyArt. СКЕТЧБУК для детей на гребне С УШКАМИ 40л, глянц.ламин 150х200 (бумага 100гр)</t>
  </si>
  <si>
    <t>166997</t>
  </si>
  <si>
    <t>MyArt. СКЕТЧБУК для детей на гребне С УШКАМИ. ЗАЙЧОНОК</t>
  </si>
  <si>
    <t>461-0-144-84783-4</t>
  </si>
  <si>
    <t>Милые фигурные скетчбуки обязательно понравятся маленьким художникам. Ведь на обложке их встретят любимые зверушки с мягкими ушками. Небольшой формат, белые листы и пружинка сделают рисование удобным и приятным.</t>
  </si>
  <si>
    <t>4610144847834</t>
  </si>
  <si>
    <t>150х210х14</t>
  </si>
  <si>
    <t>166993</t>
  </si>
  <si>
    <t>MyArt. СКЕТЧБУК для детей на гребне С УШКАМИ. ПАНДА</t>
  </si>
  <si>
    <t>461-0-144-84781-0</t>
  </si>
  <si>
    <t>4610144847810</t>
  </si>
  <si>
    <t>166995</t>
  </si>
  <si>
    <t>MyArt. СКЕТЧБУК для детей на гребне С УШКАМИ. ЩЕНОК</t>
  </si>
  <si>
    <t>461-0-144-84782-7</t>
  </si>
  <si>
    <t>4610144847827</t>
  </si>
  <si>
    <t>CЕРИЯ: MyArt. Alter Ego СКЕТЧБУК 64л софт.тач, выб.лак, кругл.углы, резинка 7БЦ 130х190 (бум 120гр)</t>
  </si>
  <si>
    <t>215051</t>
  </si>
  <si>
    <t>MyArt. Alter Ego СКЕТЧБУК. Настроение Зелёное</t>
  </si>
  <si>
    <t>467-0-159-10192-5</t>
  </si>
  <si>
    <t>Новые скетчбуки серии Alter Ego притягивают взгляды! 
Плотные листы, кругленные углы, небольшой формат, резинка-фиксатор - все это делает скетчбуки удобными в использовании. А благодаря покрытию soft-touch их еще и приятно держать в руках.
Делайте зарисовки, пишите заметки и раскрывайте свое второе Я.</t>
  </si>
  <si>
    <t>4670159101925</t>
  </si>
  <si>
    <t>619b02727bcbde54b37b54b7451fd9d0</t>
  </si>
  <si>
    <t>01.12.2023 0:00:00</t>
  </si>
  <si>
    <t>130х190х14</t>
  </si>
  <si>
    <t>215052</t>
  </si>
  <si>
    <t>MyArt. Alter Ego СКЕТЧБУК. Настроение Розовое</t>
  </si>
  <si>
    <t>467-0-159-10193-2</t>
  </si>
  <si>
    <t>4670159101932</t>
  </si>
  <si>
    <t>46bdedde0ccb710bc921d707b0b6938d</t>
  </si>
  <si>
    <t>CЕРИЯ: MyArt. Maxi Pocket СКЕТЧБУК 64л мат.лам, выб.лак, кругл.углы, резинка,7БЦ 117х180 (бум 120гр)</t>
  </si>
  <si>
    <t>183497</t>
  </si>
  <si>
    <t>MyArt. Maxi Pocket СКЕТЧБУК. Гусики</t>
  </si>
  <si>
    <t>462-0-129-73268-0</t>
  </si>
  <si>
    <t>Что делать, если муза творчества и вдохновения внезапно посетила тебя вне дома? Достать из рюкзака, сумки или широких штанин наш карманный скетчбук! Новый макси формат — суперудобен для прогулок и путешествий. А стильные обложки как всегда поднимают настроение.</t>
  </si>
  <si>
    <t>4620129732680</t>
  </si>
  <si>
    <t>117х180х12</t>
  </si>
  <si>
    <t>CЕРИЯ: MyArt. MeowBook СКЕТЧБУК 80л мат.ламин, выб.лак, КБС 118х150 (бум 100гр)</t>
  </si>
  <si>
    <t>193255</t>
  </si>
  <si>
    <t>MyArt. MeowBook СКЕТЧБУК. Котик в шапке</t>
  </si>
  <si>
    <t>462-0-129-77970-8</t>
  </si>
  <si>
    <t>Что может умилять, удивлять и вдохновлять больше, чем котики? Только скетчбуки с котиками! Новая серия забавных «Мяубуков» подойдет как для зарисовок, так и для записей. Белые нелинованые листы, удобный формат, яркая позитивная обложка – все самое лучшее для твоих заМУРчательных идей!</t>
  </si>
  <si>
    <t>4620129779708</t>
  </si>
  <si>
    <t>120x150x11</t>
  </si>
  <si>
    <t>193253</t>
  </si>
  <si>
    <t>MyArt. MeowBook СКЕТЧБУК. Котик с леденцом</t>
  </si>
  <si>
    <t>462-0-129-77969-2</t>
  </si>
  <si>
    <t>4620129779692</t>
  </si>
  <si>
    <t>199863</t>
  </si>
  <si>
    <t>MyArt. MeowBook СКЕТЧБУК. Рыжий котик</t>
  </si>
  <si>
    <t>467-0-159-01447-8</t>
  </si>
  <si>
    <t>4670159014478</t>
  </si>
  <si>
    <t>CЕРИЯ: MyArt. My animal Art СКЕТЧБУК 40л мат.ламин, выб.лак, тиснение 7БЦ 200х200 (бумага 160г)</t>
  </si>
  <si>
    <t>169818</t>
  </si>
  <si>
    <t>MyArt. My animal Art. СКЕТЧБУК 7БЦ. ЖУК</t>
  </si>
  <si>
    <t>461-0-144-86642-2</t>
  </si>
  <si>
    <t>Блокноты с роскошным художественным оформлением обложек идеально подойдут как профессиональным художникам так и новичкам! Плотная бумага, удобный формат - всё это очень удобно для рисования.</t>
  </si>
  <si>
    <t>4610144866422</t>
  </si>
  <si>
    <t>200х200х13</t>
  </si>
  <si>
    <t>169824</t>
  </si>
  <si>
    <t>MyArt. My animal Art. СКЕТЧБУК 7БЦ. ЛИСА</t>
  </si>
  <si>
    <t>461-0-144-86645-3</t>
  </si>
  <si>
    <t>4610144866453</t>
  </si>
  <si>
    <t>169820</t>
  </si>
  <si>
    <t>MyArt. My animal Art. СКЕТЧБУК 7БЦ. ТИГР</t>
  </si>
  <si>
    <t>461-0-144-86643-9</t>
  </si>
  <si>
    <t>4610144866439</t>
  </si>
  <si>
    <t>CЕРИЯ: MyArt. Pocket СКЕТЧБУК 48л мат.ламин, выб.лак, кругл.углы, резинка 7БЦ 104х146 (бум 100гр)</t>
  </si>
  <si>
    <t>177630</t>
  </si>
  <si>
    <t>MyArt. Pocket СКЕТЧБУК. БЕГЕМОТ</t>
  </si>
  <si>
    <t>462-0-129-70255-3</t>
  </si>
  <si>
    <t>Делай быстрые скетчи и записывай свои мысли всегда и везде! С нашими стильными карманными скетчбуками это очень просто! Удобный формат напоминает телефон, твердая обложка и резинка-фиксатор не дадут листам помяться.</t>
  </si>
  <si>
    <t>4620129702553</t>
  </si>
  <si>
    <t>104х146х11</t>
  </si>
  <si>
    <t>192111</t>
  </si>
  <si>
    <t>MyArt. Pocket СКЕТЧБУК. ГУБЫ</t>
  </si>
  <si>
    <t>462-0-129-77596-0</t>
  </si>
  <si>
    <t>4620129775960</t>
  </si>
  <si>
    <t>215039</t>
  </si>
  <si>
    <t>MyArt. Pocket СКЕТЧБУК. ДЕВУШКА В КЕПКЕ</t>
  </si>
  <si>
    <t>467-0-159-10075-1</t>
  </si>
  <si>
    <t>Представляем наши новые pocket-скетчбуки! Мини-формат удобен в поездках и на прогулке, твердый переплет гарантирует долговечность, а яркие обложки с героями в стиле аниме всегда поднимут настроение!</t>
  </si>
  <si>
    <t>4670159100751</t>
  </si>
  <si>
    <t>14.11.2023 0:00:00</t>
  </si>
  <si>
    <t>177629</t>
  </si>
  <si>
    <t>MyArt. Pocket СКЕТЧБУК. ЕДИНОРОГ</t>
  </si>
  <si>
    <t>462-0-129-70254-6</t>
  </si>
  <si>
    <t>4620129702546</t>
  </si>
  <si>
    <t>215988</t>
  </si>
  <si>
    <t>MyArt. Pocket СКЕТЧБУК. ЕНОТ</t>
  </si>
  <si>
    <t>467-0-159-10794-1</t>
  </si>
  <si>
    <t>4670159107941</t>
  </si>
  <si>
    <t>5ee7d565af510503928e2ab8a680a3e6</t>
  </si>
  <si>
    <t>177639</t>
  </si>
  <si>
    <t>MyArt. Pocket СКЕТЧБУК. ЛИСИЧКА</t>
  </si>
  <si>
    <t>462-0-129-70260-7</t>
  </si>
  <si>
    <t>4620129702607</t>
  </si>
  <si>
    <t>215989</t>
  </si>
  <si>
    <t>MyArt. Pocket СКЕТЧБУК. ЛЯГУШКА</t>
  </si>
  <si>
    <t>467-0-159-10797-2</t>
  </si>
  <si>
    <t>4670159107972</t>
  </si>
  <si>
    <t>177633</t>
  </si>
  <si>
    <t>MyArt. Pocket СКЕТЧБУК. МЕДУЗЫ</t>
  </si>
  <si>
    <t>462-0-129-70257-7</t>
  </si>
  <si>
    <t>4620129702577</t>
  </si>
  <si>
    <t>215040</t>
  </si>
  <si>
    <t>MyArt. Pocket СКЕТЧБУК. МОЙ МИШКА</t>
  </si>
  <si>
    <t>467-0-159-10076-8</t>
  </si>
  <si>
    <t>4670159100768</t>
  </si>
  <si>
    <t>150060</t>
  </si>
  <si>
    <t>MyArt. Pocket СКЕТЧБУК. ПИНГВИНЁНОК</t>
  </si>
  <si>
    <t>468-0-088-44256-3</t>
  </si>
  <si>
    <t>4680088442563</t>
  </si>
  <si>
    <t>177637</t>
  </si>
  <si>
    <t>MyArt. Pocket СКЕТЧБУК. ЧЕРЕП</t>
  </si>
  <si>
    <t>462-0-129-70259-1</t>
  </si>
  <si>
    <t>4620129702591</t>
  </si>
  <si>
    <t>3ad43858bac15533fc1c11f7abae5643</t>
  </si>
  <si>
    <t>188913</t>
  </si>
  <si>
    <t>MyArt. Pocket СКЕТЧБУК. ЯЩЕРКИ</t>
  </si>
  <si>
    <t>462-0-129-76293-9</t>
  </si>
  <si>
    <t>4620129762939</t>
  </si>
  <si>
    <t>CЕРИЯ: MyArt. Royal Art СКЕТЧБУК 40л мат.ламин, выб.лак, тиснение 7БЦ 200х200 (бумага 160г)</t>
  </si>
  <si>
    <t>190368</t>
  </si>
  <si>
    <t>MyArt. Royal Art СКЕТЧБУК. КРОЛИК</t>
  </si>
  <si>
    <t>462-0-129-76788-0</t>
  </si>
  <si>
    <t>Представляем оригинальную серию Royal Art, в которую вошли четыре 40-листовых квадратных скетчбука. Белые обложки с величавыми животными и золотым леттерингом подчеркивают индивидуальность и стиль, а твердый переплет гарантирует практичность и долговечность.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t>
  </si>
  <si>
    <t>4620129767880</t>
  </si>
  <si>
    <t>200x200x12</t>
  </si>
  <si>
    <t>190370</t>
  </si>
  <si>
    <t>MyArt. Royal Art СКЕТЧБУК. ЛЬВИЦА</t>
  </si>
  <si>
    <t>462-0-129-76790-3</t>
  </si>
  <si>
    <t>4620129767903</t>
  </si>
  <si>
    <t>CЕРИЯ: MyArt. Van Gogh Сollection СКЕТЧБУК 64л мат.ламин, кругл.углы, инд.упак 7БЦ 130х190 (бум 120)</t>
  </si>
  <si>
    <t>228480</t>
  </si>
  <si>
    <t>MyArt. Van Gogh Сollection СКЕТЧБУК. Ирисы</t>
  </si>
  <si>
    <t>467-0-159-16317-6</t>
  </si>
  <si>
    <t xml:space="preserve">Однотонные скетчбуки, обложку которых обрамляет обечайка с шедеврами Ван Гога, – для самых практичных и стильных! Пишите заметки, делайте наброски и эскизы, рисуйте сразу в цвете! </t>
  </si>
  <si>
    <t>4670159163176</t>
  </si>
  <si>
    <t>c27c2f5d7d41dad20b0f9b32bbba8382</t>
  </si>
  <si>
    <t>130х190х13</t>
  </si>
  <si>
    <t>228478</t>
  </si>
  <si>
    <t>MyArt. Van Gogh Сollection СКЕТЧБУК. Ночная терраса кафе</t>
  </si>
  <si>
    <t>467-0-159-16315-2</t>
  </si>
  <si>
    <t>4670159163152</t>
  </si>
  <si>
    <t>84b565e3ed90617817e029127f4832bb</t>
  </si>
  <si>
    <t>24.10.2024 0:00:00</t>
  </si>
  <si>
    <t>228479</t>
  </si>
  <si>
    <t>MyArt. Van Gogh Сollection СКЕТЧБУК. Подсолнухи</t>
  </si>
  <si>
    <t>467-0-159-16316-9</t>
  </si>
  <si>
    <t>4670159163169</t>
  </si>
  <si>
    <t>a656e68e8273dced507ffc2ea199df38</t>
  </si>
  <si>
    <t>CЕРИЯ: MyArt. Wonderland СКЕТЧБУК 64л выб.лак, кругл.углы, в пакете 120х180 (бумага 120гр)</t>
  </si>
  <si>
    <t>211251</t>
  </si>
  <si>
    <t>MyArt. СКЕТЧБУК "Wonderland sketchbook" АЛИСА С ФЛАМИНГО</t>
  </si>
  <si>
    <t>467-0-159-07917-0</t>
  </si>
  <si>
    <t xml:space="preserve">Представляем невероятно стильные скетчбуки! Обложки с легендарными иллюстрациями первой книги Льюиса Кэрролла «Алиса в стране чудес» дополнят любой модный образ, а небольшой формат удобен в использовании – рисуйте и делайте эскизы, пишите развернутые тексты и оставляйте короткие заметки!  Каждая книжка упакована в пленку, что гарантирует покупателю презентабельный вид даже после доставки издалека.  </t>
  </si>
  <si>
    <t>4670159079170</t>
  </si>
  <si>
    <t>727f0bb4b76d037ad3fd8964c69b6276</t>
  </si>
  <si>
    <t>116х180х15</t>
  </si>
  <si>
    <t>198357</t>
  </si>
  <si>
    <t>MyArt. СКЕТЧБУК "Wonderland sketchbook" КРОЛИК</t>
  </si>
  <si>
    <t>467-0-159-00605-3</t>
  </si>
  <si>
    <t>4670159006053</t>
  </si>
  <si>
    <t>211252</t>
  </si>
  <si>
    <t>MyArt. СКЕТЧБУК "Wonderland sketchbook" ШАЛТАЙ-БОЛТАЙ</t>
  </si>
  <si>
    <t>467-0-159-07918-7</t>
  </si>
  <si>
    <t>4670159079187</t>
  </si>
  <si>
    <t>60798d41af9b1acfcd02ec842e11ea08</t>
  </si>
  <si>
    <t>CЕРИЯ: MyArt. XS Pocket СКЕТЧБУК 48л мат.ламин, выб.лак, кругл.углы 7БЦ 94х138 (бумага 120гр)</t>
  </si>
  <si>
    <t>194050</t>
  </si>
  <si>
    <t>MyArt. XS Pocket СКЕТЧБУК. Аниме. Взгляд дракона</t>
  </si>
  <si>
    <t>462-0-129-78360-6</t>
  </si>
  <si>
    <t>Что делать, если муза творчества и вдохновение внезапно посетили вне дома? Достать из рюкзака, сумки или широких штанин наш новый XS pocket sketchbook! Мини-формат удобен в поездках и на прогулке, твердый переплет гарантирует долговечность, а стильные обложки всегда поднимут настроение!</t>
  </si>
  <si>
    <t>4620129783606</t>
  </si>
  <si>
    <t>95х138х11</t>
  </si>
  <si>
    <t>194049</t>
  </si>
  <si>
    <t>MyArt. XS Pocket СКЕТЧБУК. Аниме. Девочка с голубыми волосами</t>
  </si>
  <si>
    <t>462-0-129-78359-0</t>
  </si>
  <si>
    <t>4620129783590</t>
  </si>
  <si>
    <t>194052</t>
  </si>
  <si>
    <t>MyArt. XS Pocket СКЕТЧБУК. Аниме. Девушка с молотом</t>
  </si>
  <si>
    <t>462-0-129-78362-0</t>
  </si>
  <si>
    <t>4620129783620</t>
  </si>
  <si>
    <t>194051</t>
  </si>
  <si>
    <t>MyArt. XS Pocket СКЕТЧБУК. Аниме. Маленькая ведьмочка</t>
  </si>
  <si>
    <t>462-0-129-78361-3</t>
  </si>
  <si>
    <t>4620129783613</t>
  </si>
  <si>
    <t>СЕРИЯ: MyArt. Pocket ArtBook 80л выб.лак, кругл.углы КБС 100х138 (бумага 100гр)</t>
  </si>
  <si>
    <t>183472</t>
  </si>
  <si>
    <t>MyArt. Pocket ArtBook. Девочка</t>
  </si>
  <si>
    <t>462-0-129-72073-1</t>
  </si>
  <si>
    <t>Блокноты удобного небольшого формата с оригинальным художественным оформлением отлично подойдут как для зарисовок, так и для ведения заметок.</t>
  </si>
  <si>
    <t>4620129720731</t>
  </si>
  <si>
    <t>195234</t>
  </si>
  <si>
    <t>MyArt. Pocket ArtBook. Котик на пончике</t>
  </si>
  <si>
    <t>462-0-129-78831-1</t>
  </si>
  <si>
    <t>4620129788311</t>
  </si>
  <si>
    <t>193672</t>
  </si>
  <si>
    <t>MyArt. Pocket ArtBook. Магия</t>
  </si>
  <si>
    <t>462-0-129-78097-1</t>
  </si>
  <si>
    <t>4620129780971</t>
  </si>
  <si>
    <t>190373</t>
  </si>
  <si>
    <t>MyArt. Pocket ArtBook. Романтика</t>
  </si>
  <si>
    <t>462-0-129-77000-2</t>
  </si>
  <si>
    <t>4620129770002</t>
  </si>
  <si>
    <t>СЕРИЯ: MyArt. Sketchbook for Pocket 48л выб.лак, кругл.углы 7БЦ 105х149 (бумага 120гр)</t>
  </si>
  <si>
    <t>192124</t>
  </si>
  <si>
    <t>MyArt. Sketchbook for Pocket. Грустный котик</t>
  </si>
  <si>
    <t>462-0-129-77386-7</t>
  </si>
  <si>
    <t xml:space="preserve">Милые и дерзкие, яркие и нежные – из новой линейки скетбуков MyArt ты можешь выбрать тот, что подойдёт именно тебе! Небольшой блокнот удобного карманного формата можно носить с собой, чтобы делать быстрые скетчи или записывать свои мысли и планы. </t>
  </si>
  <si>
    <t>4620129773867</t>
  </si>
  <si>
    <t>105х149х11</t>
  </si>
  <si>
    <t>192119</t>
  </si>
  <si>
    <t>MyArt. Sketchbook for Pocket. Комикс аниме</t>
  </si>
  <si>
    <t>462-0-129-77381-2</t>
  </si>
  <si>
    <t>4620129773812</t>
  </si>
  <si>
    <t>192116</t>
  </si>
  <si>
    <t>MyArt. Sketchbook for Pocket. Павлин</t>
  </si>
  <si>
    <t>462-0-129-77379-9</t>
  </si>
  <si>
    <t>4620129773799</t>
  </si>
  <si>
    <t>192115</t>
  </si>
  <si>
    <t>MyArt. Sketchbook for Pocket. Рок гитара</t>
  </si>
  <si>
    <t>462-0-129-77378-2</t>
  </si>
  <si>
    <t>4620129773782</t>
  </si>
  <si>
    <t>192123</t>
  </si>
  <si>
    <t>MyArt. Sketchbook for Pocket. Улыбайся!</t>
  </si>
  <si>
    <t>462-0-129-77384-3</t>
  </si>
  <si>
    <t>4620129773843</t>
  </si>
  <si>
    <t>СЕРИЯ: MyArt. АНИМЕ СКЕТЧБУК 64л мат.ламин, выб.лак, кругл.углы 7БЦ 205х246 (бум 120гр)</t>
  </si>
  <si>
    <t>188892</t>
  </si>
  <si>
    <t>MyArt. АНИМЕ СКЕТЧБУК. ДЕВОЧКА В ЦВЕТАХ</t>
  </si>
  <si>
    <t>462-0-129-76280-9</t>
  </si>
  <si>
    <t>Суперстильные скетчбуки из серии «Аниме» — настоящая находка для креативных личностей и фанатов жанра! Яркие трендовые обложки вдохновляют на новые идеи. Каждая страница открывает возможность для безграничного творчества: рисуй комиксы, делай скетчи, записывай крутые сюжеты.</t>
  </si>
  <si>
    <t>4620129762809</t>
  </si>
  <si>
    <t>205х245х14</t>
  </si>
  <si>
    <t>188896</t>
  </si>
  <si>
    <t>MyArt. АНИМЕ СКЕТЧБУК. КРАШ</t>
  </si>
  <si>
    <t>462-0-129-76283-0</t>
  </si>
  <si>
    <t>4620129762830</t>
  </si>
  <si>
    <t>199534</t>
  </si>
  <si>
    <t>MyArt. АНИМЕ СКЕТЧБУК. ПОД ДОЖДЁМ</t>
  </si>
  <si>
    <t>467-0-159-01161-3</t>
  </si>
  <si>
    <t>4670159011613</t>
  </si>
  <si>
    <t>СЕРИЯ: MyArt. КВАДРАТНЫЙ СКЕТЧБУК 80л мат.ламин, выб.лак, ляссе, резинка 7БЦ 200х200 (бумага 100гр)</t>
  </si>
  <si>
    <t>194656</t>
  </si>
  <si>
    <t>MyArt. КВАДРАТНЫЙ СКЕТЧБУК. Большая волна в Канагаве</t>
  </si>
  <si>
    <t>462-0-129-78737-6</t>
  </si>
  <si>
    <t>Серию скетчбуков с мировыми шедеврами живописи на обложках пополнила новинка – «Кацусика Хокусай. Большая волна в Канагаве».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</si>
  <si>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4620129787376</t>
  </si>
  <si>
    <t>200х200х19</t>
  </si>
  <si>
    <t>154480</t>
  </si>
  <si>
    <t>MyArt. КВАДРАТНЫЙ СКЕТЧБУК. Винсент Ван Гог. Звёздная ночь</t>
  </si>
  <si>
    <t>468-0-088-48541-6</t>
  </si>
  <si>
    <t>В новую серию вошли четыре скетчбука по 80 листов с эластичным фиксатором страниц. Дизайн обложек, навеянный знаменитыми полотнами классиков мировой живописи - Ван Гога, Моне, Климта, Дега, гарантирует презентабельный вид, а твёрдый переплёт - практичность и долговечность.</t>
  </si>
  <si>
    <t>4680088485416</t>
  </si>
  <si>
    <t>228466</t>
  </si>
  <si>
    <t>MyArt. КВАДРАТНЫЙ СКЕТЧБУК. Винсент Ван Гог. Ночная терраса кафе</t>
  </si>
  <si>
    <t>467-0-159-16283-4</t>
  </si>
  <si>
    <t>Серию скетчбуков с мировыми шедеврами живописи на обложках пополнили две новинки: «Винсент Ван Гог. Ночная терраса кафе» и «Леонардо да Винчи. Дама с горностаем».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</si>
  <si>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4670159162834</t>
  </si>
  <si>
    <t>мат.ламанация+ выб.лак</t>
  </si>
  <si>
    <t>200824</t>
  </si>
  <si>
    <t>MyArt. КВАДРАТНЫЙ СКЕТЧБУК. Винсент Ван Гог. Подсолнухи</t>
  </si>
  <si>
    <t>467-0-159-02158-2</t>
  </si>
  <si>
    <t>Серию скетчбуков с мировыми шедеврами живописи на обложках пополнили четыре новинки: «Леонардо да Винчи. Мона Лиза», «Пьер Ренуар. Зонтики», «Клод Моне. Кувшинки», «Винсент Ван Гог. Подсолнухи».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</si>
  <si>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4670159021582</t>
  </si>
  <si>
    <t>154482</t>
  </si>
  <si>
    <t>MyArt. КВАДРАТНЫЙ СКЕТЧБУК. Густав Климт. Поцелуй</t>
  </si>
  <si>
    <t>468-0-088-48543-0</t>
  </si>
  <si>
    <t>4680088485430</t>
  </si>
  <si>
    <t>200821</t>
  </si>
  <si>
    <t>MyArt. КВАДРАТНЫЙ СКЕТЧБУК. Клод Моне. Кувшинки</t>
  </si>
  <si>
    <t>467-0-159-02157-5</t>
  </si>
  <si>
    <t>4670159021575</t>
  </si>
  <si>
    <t>154481</t>
  </si>
  <si>
    <t>MyArt. КВАДРАТНЫЙ СКЕТЧБУК. Клод Моне. Сан-Джорджо Маджоре в сумерках</t>
  </si>
  <si>
    <t>468-0-088-48542-3</t>
  </si>
  <si>
    <t>4680088485423</t>
  </si>
  <si>
    <t>228465</t>
  </si>
  <si>
    <t>MyArt. КВАДРАТНЫЙ СКЕТЧБУК. Леонардо да Винчи. Дама с горностаем</t>
  </si>
  <si>
    <t>467-0-159-16282-7</t>
  </si>
  <si>
    <t>Серию скетчбуков с мировыми шедеврами живописи на обложках пополнили две новинки: «Леонардо да Винчи. Дама с горностаем» и «Винсент Ван Гог. Ночная терраса кафе».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</si>
  <si>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4670159162827</t>
  </si>
  <si>
    <t>200829</t>
  </si>
  <si>
    <t>MyArt. КВАДРАТНЫЙ СКЕТЧБУК. Леонардо да Винчи. Мона Лиза</t>
  </si>
  <si>
    <t>467-0-159-02160-5</t>
  </si>
  <si>
    <t>4670159021605</t>
  </si>
  <si>
    <t>214968</t>
  </si>
  <si>
    <t>MyArt. КВАДРАТНЫЙ СКЕТЧБУК. Микеланджело Буанаротти. Сотворение Адама</t>
  </si>
  <si>
    <t>467-0-159-10042-3</t>
  </si>
  <si>
    <t xml:space="preserve">Серию скетчбуков с мировыми шедеврами живописи на обложках пополнили новинки: «Микеланджело Буонарроти. Сотворение Адама» и «Сандро Боттичелли. Рождение Венеры». Пишите заметки, делайте наброски и эскизы – плотная качественная бумага подходит для цветных и графитовых карандашей, гелевых и шариковых ручек. Кроме того, она не пропускает чернила и выдержит многократное стирание ластиком. </t>
  </si>
  <si>
    <t>4670159100423</t>
  </si>
  <si>
    <t>20.11.2023 0:00:00</t>
  </si>
  <si>
    <t>200826</t>
  </si>
  <si>
    <t>MyArt. КВАДРАТНЫЙ СКЕТЧБУК. Пьер Ренуар. Зонтики</t>
  </si>
  <si>
    <t>467-0-159-02159-9</t>
  </si>
  <si>
    <t>4670159021599</t>
  </si>
  <si>
    <t>214969</t>
  </si>
  <si>
    <t>MyArt. КВАДРАТНЫЙ СКЕТЧБУК. Сандро Боттичелли. Рождение Венеры</t>
  </si>
  <si>
    <t>467-0-159-10043-0</t>
  </si>
  <si>
    <t>4670159100430</t>
  </si>
  <si>
    <t>154479</t>
  </si>
  <si>
    <t>MyArt. КВАДРАТНЫЙ СКЕТЧБУК. Эдгар Дега. Три танцовщицы в синих пачках с красным корсажем</t>
  </si>
  <si>
    <t>468-0-088-48540-9</t>
  </si>
  <si>
    <t>4680088485409</t>
  </si>
  <si>
    <t>203142</t>
  </si>
  <si>
    <t>MyArt. КВАДРАТНЫЙ СКЕТЧБУК. Ян Вермеер. Девушка с жемчужной серёжкой</t>
  </si>
  <si>
    <t>467-0-159-03613-5</t>
  </si>
  <si>
    <t>Серию скетчбуков с мировыми шедеврами живописи на обложках пополнила новинка – «Ян Вермеер. Девушка с жемчужной сережкой».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</si>
  <si>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4670159036135</t>
  </si>
  <si>
    <t>СЕРИЯ: MyArt. СКЕТЧБУК  48л с обечайкой, мат.ламин, каландр, резинка, индивид.уп 165х165 (бум 160гр)</t>
  </si>
  <si>
    <t>256235</t>
  </si>
  <si>
    <t>MyArt. СКЕТЧБУК 165х165. БЕНГАЛЬСКАЯ КОШКА</t>
  </si>
  <si>
    <t>467-0-159-27133-8</t>
  </si>
  <si>
    <t>Минимализм – и ничего лишнего! Квадратные скетчбуки, однотонную обложку которых обрамляет обечайка со сдержанным дизайном и основной информацией, – для самых практичных и стильных! Пишите заметки, делайте наброски и эскизы, рисуйте сразу в цвете!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краски и выдержит многократное стирание ластиком.</t>
  </si>
  <si>
    <t>4670159271338</t>
  </si>
  <si>
    <t>2acf3e7b45bf1b402151b75e4259c4f1</t>
  </si>
  <si>
    <t>165х165х13</t>
  </si>
  <si>
    <t>222892</t>
  </si>
  <si>
    <t>MyArt. СКЕТЧБУК 165х165. ГРАНАТ</t>
  </si>
  <si>
    <t>467-0-159-13044-4</t>
  </si>
  <si>
    <t>4670159130444</t>
  </si>
  <si>
    <t>73b7b5b6d7e78d30676d0590ae277466</t>
  </si>
  <si>
    <t>03.05.2024 0:00:00</t>
  </si>
  <si>
    <t>256233</t>
  </si>
  <si>
    <t>MyArt. СКЕТЧБУК 165х165. ДАМА В ШЛЯПЕ</t>
  </si>
  <si>
    <t>467-0-159-27132-1</t>
  </si>
  <si>
    <t>4670159271321</t>
  </si>
  <si>
    <t>0189f4d568689728bb5a429308eb241b</t>
  </si>
  <si>
    <t>222893</t>
  </si>
  <si>
    <t>MyArt. СКЕТЧБУК 165х165. КЕДЫ</t>
  </si>
  <si>
    <t>467-0-159-13045-1</t>
  </si>
  <si>
    <t>4670159130451</t>
  </si>
  <si>
    <t>b451a78300acfa0605f5cc52a6895d80</t>
  </si>
  <si>
    <t>245248</t>
  </si>
  <si>
    <t>MyArt. СКЕТЧБУК 165х165. КОРГИ</t>
  </si>
  <si>
    <t>467-0-159-23812-6</t>
  </si>
  <si>
    <t>4670159238126</t>
  </si>
  <si>
    <t>9f6ed25421cc45326495e00d63cd3fa2</t>
  </si>
  <si>
    <t>29.01.2025 0:00:00</t>
  </si>
  <si>
    <t>245246</t>
  </si>
  <si>
    <t>MyArt. СКЕТЧБУК 165х165. МЕГАПОЛИС</t>
  </si>
  <si>
    <t>467-0-159-23811-9</t>
  </si>
  <si>
    <t>4670159238119</t>
  </si>
  <si>
    <t>881433c4a2a950938081540bc1156206</t>
  </si>
  <si>
    <t>12.02.2025 0:00:00</t>
  </si>
  <si>
    <t>222890</t>
  </si>
  <si>
    <t>MyArt. СКЕТЧБУК 165х165. МЕЙН-КУН</t>
  </si>
  <si>
    <t>467-0-159-13042-0</t>
  </si>
  <si>
    <t>4670159130420</t>
  </si>
  <si>
    <t>e150defea7cd8f01aa6c255d31356882</t>
  </si>
  <si>
    <t>02.05.2024 0:00:00</t>
  </si>
  <si>
    <t>256237</t>
  </si>
  <si>
    <t>MyArt. СКЕТЧБУК 165х165. ПОДСОЛНУХИ</t>
  </si>
  <si>
    <t>467-0-159-27134-5</t>
  </si>
  <si>
    <t>4670159271345</t>
  </si>
  <si>
    <t>624150203906a4a604ad961b5e8ff361</t>
  </si>
  <si>
    <t>256232</t>
  </si>
  <si>
    <t>MyArt. СКЕТЧБУК 165х165. ПОМЕРАНСКИЙ ШПИЦ</t>
  </si>
  <si>
    <t>467-0-159-27131-4</t>
  </si>
  <si>
    <t>4670159271314</t>
  </si>
  <si>
    <t>d1ca42fb2ab86c9fe06431ee88dc998f</t>
  </si>
  <si>
    <t>СЕРИЯ: MyArt. СКЕТЧБУК "В ТРЕНДЕ" 64л мат.лам, выб.лак, кругл.углы 7БЦ 145х203 (бумага 120гр)</t>
  </si>
  <si>
    <t>223748</t>
  </si>
  <si>
    <t>MyArt. СКЕТЧБУК "В ТРЕНДЕ" АСТА ЛА ВИСТА, ГУСИК!</t>
  </si>
  <si>
    <t>467-0-159-14833-3</t>
  </si>
  <si>
    <t>Сегодня важно быть в тренде во всех сферах. Трендовая одежда, трендовая музыка и, разумеется, трендовые скетчбуки. Новая серия MyArt именно такая. Яркие цвета обложек и дерзкие персонажи — MyArt устанавливает свои правила.</t>
  </si>
  <si>
    <t>4670159148333</t>
  </si>
  <si>
    <t>145х203х12</t>
  </si>
  <si>
    <t>215833</t>
  </si>
  <si>
    <t>MyArt. СКЕТЧБУК "В ТРЕНДЕ" КАПИБАРА И ГУСЬ</t>
  </si>
  <si>
    <t>467-0-159-10696-8</t>
  </si>
  <si>
    <t>4670159106968</t>
  </si>
  <si>
    <t>08.09.2023 0:00:00</t>
  </si>
  <si>
    <t>223746</t>
  </si>
  <si>
    <t>MyArt. СКЕТЧБУК "В ТРЕНДЕ" КАПИДЗИЛЛА И ГУСЬ-КОНГ</t>
  </si>
  <si>
    <t>467-0-159-14831-9</t>
  </si>
  <si>
    <t>4670159148319</t>
  </si>
  <si>
    <t>221112</t>
  </si>
  <si>
    <t>MyArt. СКЕТЧБУК "В ТРЕНДЕ" РЫБА ТВОЕЙ МЕЧТЫ</t>
  </si>
  <si>
    <t>467-0-159-13313-1</t>
  </si>
  <si>
    <t>4670159133131</t>
  </si>
  <si>
    <t>037106a8dad915bb24bc1561c57c9487</t>
  </si>
  <si>
    <t>215835</t>
  </si>
  <si>
    <t>MyArt. СКЕТЧБУК "В ТРЕНДЕ" СУПЕРСТАРЫ</t>
  </si>
  <si>
    <t>467-0-159-10698-2</t>
  </si>
  <si>
    <t>4670159106982</t>
  </si>
  <si>
    <t>11.09.2023 0:00:00</t>
  </si>
  <si>
    <t>223749</t>
  </si>
  <si>
    <t>MyArt. СКЕТЧБУК "В ТРЕНДЕ" ТРЕНДЫ В КОСПЛЕЕ</t>
  </si>
  <si>
    <t>467-0-159-14834-0</t>
  </si>
  <si>
    <t>4670159148340</t>
  </si>
  <si>
    <t>223747</t>
  </si>
  <si>
    <t>MyArt. СКЕТЧБУК "В ТРЕНДЕ" ТРЕНДЫ, КОТОРЫЕ ВЫЖИЛИ...</t>
  </si>
  <si>
    <t>467-0-159-14832-6</t>
  </si>
  <si>
    <t>4670159148326</t>
  </si>
  <si>
    <t>65a24c42f4be01cfc45f97e28690844b</t>
  </si>
  <si>
    <t>228041</t>
  </si>
  <si>
    <t>MyArt. СКЕТЧБУК "В ТРЕНДЕ" ЧИХУАШКА - ОПАСНОСТЬ</t>
  </si>
  <si>
    <t>467-0-159-16716-7</t>
  </si>
  <si>
    <t>4670159167167</t>
  </si>
  <si>
    <t>e3842bcb28596914de61da62002a45ab</t>
  </si>
  <si>
    <t>03.07.2024 0:00:00</t>
  </si>
  <si>
    <t>СЕРИЯ: MyArt. СКЕТЧБУК "Ван Гог Премиум" 64л выб.лак, кругл.углы, цвет.обрез 7БЦ 190х190 (бум 160гр)</t>
  </si>
  <si>
    <t>265685</t>
  </si>
  <si>
    <t>MyArt. СКЕТЧБУК "Ван Гог Премиум" Звездная ночь над Роной</t>
  </si>
  <si>
    <t>467-0-159-29586-0</t>
  </si>
  <si>
    <t>4670159295860</t>
  </si>
  <si>
    <t>189х189х15</t>
  </si>
  <si>
    <t>258294</t>
  </si>
  <si>
    <t>MyArt. СКЕТЧБУК "Ван Гог Премиум" Ночная терраса кафе</t>
  </si>
  <si>
    <t xml:space="preserve">467-0-159-27813-9 </t>
  </si>
  <si>
    <t>В новую серию «Ван Гог Премиум» вошли четыре роскошных скетчбука. Дизайн обложек и цветной срез листов повторяют полотна классика мировой живописи и обеспечивают презентабельный вид, а твёрдый переплёт гарантирует практичность и долговечность.</t>
  </si>
  <si>
    <t>4670159278139</t>
  </si>
  <si>
    <t>acf36ed6198404d4db7f649180fb810a</t>
  </si>
  <si>
    <t>265686</t>
  </si>
  <si>
    <t>MyArt. СКЕТЧБУК "Ван Гог Премиум" Подсолнухи</t>
  </si>
  <si>
    <t>467-0-159-29585-3</t>
  </si>
  <si>
    <t>4670159295853</t>
  </si>
  <si>
    <t>258293</t>
  </si>
  <si>
    <t>MyArt. СКЕТЧБУК "Ван Гог Премиум" Пшеничное поле с кипарисом</t>
  </si>
  <si>
    <t>467-0-159-27812-2</t>
  </si>
  <si>
    <t>4670159278122</t>
  </si>
  <si>
    <t>e5f0105be064d4af4046102a1c71b88e</t>
  </si>
  <si>
    <t>СЕРИЯ: MyArt. СКЕТЧБУК "ЗНАКИ ЗОДИАКА" 80л холод.тиснение, кругл.углы 7БЦ 145х203 (бумага 120гр)</t>
  </si>
  <si>
    <t>208655</t>
  </si>
  <si>
    <t>MyArt. СКЕТЧБУК "ЗНАКИ ЗОДИАКА" БЛИЗНЕЦЫ</t>
  </si>
  <si>
    <t>467-0-159-06280-6</t>
  </si>
  <si>
    <t>Когда люкс и стиль в гармонии... Представляем серию скетчбуков со знаками зодиака, символизированными девушками космической красоты. Роскошный дизайн, тонко подчеркнутый холодным тиснением, вдохновит на невероятные творческие свершения!</t>
  </si>
  <si>
    <t>4670159062806</t>
  </si>
  <si>
    <t>e3b92789cab24eafa0796cc9ac356b31</t>
  </si>
  <si>
    <t>145х203х15</t>
  </si>
  <si>
    <t>208661</t>
  </si>
  <si>
    <t>MyArt. СКЕТЧБУК "ЗНАКИ ЗОДИАКА" ВЕСЫ</t>
  </si>
  <si>
    <t>467-0-159-06284-4</t>
  </si>
  <si>
    <t>4670159062844</t>
  </si>
  <si>
    <t>208668</t>
  </si>
  <si>
    <t>MyArt. СКЕТЧБУК "ЗНАКИ ЗОДИАКА" ВОДОЛЕЙ</t>
  </si>
  <si>
    <t>467-0-159-06288-2</t>
  </si>
  <si>
    <t>4670159062882</t>
  </si>
  <si>
    <t>aea31d0cca42d65d733ed0d557bbe2d0</t>
  </si>
  <si>
    <t>208660</t>
  </si>
  <si>
    <t>MyArt. СКЕТЧБУК "ЗНАКИ ЗОДИАКА" ДЕВА</t>
  </si>
  <si>
    <t>467-0-159-06283-7</t>
  </si>
  <si>
    <t>4670159062837</t>
  </si>
  <si>
    <t>208666</t>
  </si>
  <si>
    <t>MyArt. СКЕТЧБУК "ЗНАКИ ЗОДИАКА" КОЗЕРОГ</t>
  </si>
  <si>
    <t>467-0-159-06287-5</t>
  </si>
  <si>
    <t>4670159062875</t>
  </si>
  <si>
    <t>208658</t>
  </si>
  <si>
    <t>MyArt. СКЕТЧБУК "ЗНАКИ ЗОДИАКА" ЛЕВ</t>
  </si>
  <si>
    <t>467-0-159-06282-0</t>
  </si>
  <si>
    <t>4670159062820</t>
  </si>
  <si>
    <t>ded8032565bbaa2b71e4d9e09ca87fed</t>
  </si>
  <si>
    <t>208652</t>
  </si>
  <si>
    <t>MyArt. СКЕТЧБУК "ЗНАКИ ЗОДИАКА" ОВЕН</t>
  </si>
  <si>
    <t>467-0-159-06278-3</t>
  </si>
  <si>
    <t>4670159062783</t>
  </si>
  <si>
    <t>d943c5844d87f3f009a0bbdcc77ab21d</t>
  </si>
  <si>
    <t>208656</t>
  </si>
  <si>
    <t>MyArt. СКЕТЧБУК "ЗНАКИ ЗОДИАКА" РАК</t>
  </si>
  <si>
    <t>467-0-159-06281-3</t>
  </si>
  <si>
    <t>4670159062813</t>
  </si>
  <si>
    <t>7004f23980846c8f255506366eab041b</t>
  </si>
  <si>
    <t>208669</t>
  </si>
  <si>
    <t>MyArt. СКЕТЧБУК "ЗНАКИ ЗОДИАКА" РЫБЫ</t>
  </si>
  <si>
    <t>467-0-159-06289-9</t>
  </si>
  <si>
    <t>4670159062899</t>
  </si>
  <si>
    <t>208663</t>
  </si>
  <si>
    <t>MyArt. СКЕТЧБУК "ЗНАКИ ЗОДИАКА" СКОРПИОН</t>
  </si>
  <si>
    <t>467-0-159-06285-1</t>
  </si>
  <si>
    <t>4670159062851</t>
  </si>
  <si>
    <t>208665</t>
  </si>
  <si>
    <t>MyArt. СКЕТЧБУК "ЗНАКИ ЗОДИАКА" СТРЕЛЕЦ</t>
  </si>
  <si>
    <t>467-0-159-06286-8</t>
  </si>
  <si>
    <t>4670159062868</t>
  </si>
  <si>
    <t>fcba815322a908a23e3513b047edd356</t>
  </si>
  <si>
    <t>208654</t>
  </si>
  <si>
    <t>MyArt. СКЕТЧБУК "ЗНАКИ ЗОДИАКА" ТЕЛЕЦ</t>
  </si>
  <si>
    <t>467-0-159-06279-0</t>
  </si>
  <si>
    <t>4670159062790</t>
  </si>
  <si>
    <t>9b187bd5dacb68fc02b4578ed2d97c58</t>
  </si>
  <si>
    <t>СЕРИЯ: MyArt. СКЕТЧБУК "НА СТИЛЕ" 64л выб.лак, кругл.углы, индивид.упак, 7БЦ 145х203 (бумага 120гр)</t>
  </si>
  <si>
    <t>200817</t>
  </si>
  <si>
    <t>MyArt. СКЕТЧБУК "НА СТИЛЕ" ВОЛК</t>
  </si>
  <si>
    <t>467-0-159-02205-3</t>
  </si>
  <si>
    <t>Стильные, яркие, необычные скетчбуки созданы специально для творческих личностей. Эксклюзивные обложки подчеркивают индивидуальность и вдохновляют на смелое самовыражение. Творите и проявляйтесь вместе с MyArt!</t>
  </si>
  <si>
    <t>4670159022053</t>
  </si>
  <si>
    <t>145х203х13</t>
  </si>
  <si>
    <t>200816</t>
  </si>
  <si>
    <t>MyArt. СКЕТЧБУК "НА СТИЛЕ" ЗАЯЦ</t>
  </si>
  <si>
    <t>467-0-159-02204-6</t>
  </si>
  <si>
    <t>4670159022046</t>
  </si>
  <si>
    <t>200818</t>
  </si>
  <si>
    <t>MyArt. СКЕТЧБУК "НА СТИЛЕ" ЛАМА</t>
  </si>
  <si>
    <t>467-0-159-02206-0</t>
  </si>
  <si>
    <t>4670159022060</t>
  </si>
  <si>
    <t>СЕРИЯ: MyArt. СКЕТЧБУК "НАШИ ПАРНИ" 64л выб.лак, кругл.углы, 7БЦ 170х220 (бумага 120гр)</t>
  </si>
  <si>
    <t>198423</t>
  </si>
  <si>
    <t>MyArt. СКЕТЧБУК "НАШИ ПАРНИ" БРАТСТВО</t>
  </si>
  <si>
    <t>467-0-159-00492-9</t>
  </si>
  <si>
    <t>Гордость, Смелость, Братсво, Отвага — важные понятия, которые близки нашим парням, настоящим защитникам. Новая серия скетчбуков посвящается духу патриотизма, верности Родине и невероятно сложному призванию. Блокнот с авторской иллюстрацией на обложке станет прекрасным подарком другу, брату, товарищу и всем, для кого честь — не пустой звук.</t>
  </si>
  <si>
    <t>4670159004929</t>
  </si>
  <si>
    <t>170х220х13</t>
  </si>
  <si>
    <t>198422</t>
  </si>
  <si>
    <t>MyArt. СКЕТЧБУК "НАШИ ПАРНИ" ГОРДОСТЬ</t>
  </si>
  <si>
    <t>467-0-159-00490-5</t>
  </si>
  <si>
    <t>Гордость, Смелость, Братсво, Отвага, Сила, Единство — важные понятия, которые близки нашим парням, настоящим защитникам. Новая серия скетчбуков посвящается духу патриотизма, верности Родине и невероятно сложному призванию. Блокнот с авторской иллюстрацией на обложке станет прекрасным подарком другу, брату, товарищу и всем, для кого честь — не пустой звук.</t>
  </si>
  <si>
    <t>4670159004905</t>
  </si>
  <si>
    <t>204747</t>
  </si>
  <si>
    <t>MyArt. СКЕТЧБУК "НАШИ ПАРНИ" ЕДИНСТВО</t>
  </si>
  <si>
    <t>467-0-159-04680-6</t>
  </si>
  <si>
    <t>4670159046806</t>
  </si>
  <si>
    <t>198419</t>
  </si>
  <si>
    <t>MyArt. СКЕТЧБУК "НАШИ ПАРНИ" ОТВАГА</t>
  </si>
  <si>
    <t>467-0-159-00491-2</t>
  </si>
  <si>
    <t>4670159004912</t>
  </si>
  <si>
    <t>204748</t>
  </si>
  <si>
    <t>MyArt. СКЕТЧБУК "НАШИ ПАРНИ" СИЛА</t>
  </si>
  <si>
    <t>467-0-159-04681-3</t>
  </si>
  <si>
    <t>4670159046813</t>
  </si>
  <si>
    <t>СЕРИЯ: MyArt. СКЕТЧБУК "ТАРО" 40л выб.лак, кругл.углы, 7БЦ 130х210 (бумага 90гр)</t>
  </si>
  <si>
    <t>198351</t>
  </si>
  <si>
    <t>MyArt. СКЕТЧБУК "ТАРО" ИМПЕРАТРИЦА</t>
  </si>
  <si>
    <t>467-0-159-00462-2</t>
  </si>
  <si>
    <t>Мир предсказаний притягивает своей загадочностью. Раскрой свой творческий потенциал с волшебными скетчбуками "Таро". Блокнот удобно носить с собой, а красивая обложка будет вдохновлять на новые идеи.</t>
  </si>
  <si>
    <t>4670159004622</t>
  </si>
  <si>
    <t>130х210х10</t>
  </si>
  <si>
    <t>198353</t>
  </si>
  <si>
    <t>MyArt. СКЕТЧБУК "ТАРО" ЛЮБОВНИКИ</t>
  </si>
  <si>
    <t>467-0-159-00464-6</t>
  </si>
  <si>
    <t>4670159004646</t>
  </si>
  <si>
    <t>198354</t>
  </si>
  <si>
    <t>MyArt. СКЕТЧБУК "ТАРО" СОЛНЦЕ</t>
  </si>
  <si>
    <t>467-0-159-00465-3</t>
  </si>
  <si>
    <t>4670159004653</t>
  </si>
  <si>
    <t>СЕРИЯ: MyArt. АЛЬБОМ ДЛЯ ТВОРЧЕСТВА 64л выб.лак, кругл.углы, резинка 205х300 (бумага 120гр)</t>
  </si>
  <si>
    <t>203137</t>
  </si>
  <si>
    <t>My Art. АЛЬБОМ ДЛЯ ТВОРЧЕСТВА. ТИГР</t>
  </si>
  <si>
    <t>467-0-159-03614-2</t>
  </si>
  <si>
    <t>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t>
  </si>
  <si>
    <t>4670159036142</t>
  </si>
  <si>
    <t>04483fedd0a40e6d5cac7e0d46f307fc</t>
  </si>
  <si>
    <t>205х300х16</t>
  </si>
  <si>
    <t>211257</t>
  </si>
  <si>
    <t>MyArt. АЛЬБОМ ДЛЯ ТВОРЧЕСТВА. БОЛЬШАЯ ВОЛНА В КАНАГАВЕ</t>
  </si>
  <si>
    <t>467-0-159-08024-4</t>
  </si>
  <si>
    <t>4670159080244</t>
  </si>
  <si>
    <t>c604ebf31caec917c341425b2e3ba4a4</t>
  </si>
  <si>
    <t>205х300х15</t>
  </si>
  <si>
    <t>186361</t>
  </si>
  <si>
    <t>MyArt. АЛЬБОМ ДЛЯ ТВОРЧЕСТВА. ВОЛК</t>
  </si>
  <si>
    <t>462-0-129-74928-2</t>
  </si>
  <si>
    <t xml:space="preserve">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 </t>
  </si>
  <si>
    <t>4620129749282</t>
  </si>
  <si>
    <t>64e11d07a68ab07b97faa7b8b2fe813a</t>
  </si>
  <si>
    <t>153561</t>
  </si>
  <si>
    <t>MyArt. АЛЬБОМ ДЛЯ ТВОРЧЕСТВА. ДЕВУШКА</t>
  </si>
  <si>
    <t>468-0-088-47693-3</t>
  </si>
  <si>
    <t>4680088476933</t>
  </si>
  <si>
    <t>4902c3beb698bc43f82175d0af69012f</t>
  </si>
  <si>
    <t>194806</t>
  </si>
  <si>
    <t>MyArt. АЛЬБОМ ДЛЯ ТВОРЧЕСТВА. ЗВЁЗДНАЯ НОЧЬ. Винсент Ван Гог</t>
  </si>
  <si>
    <t>462-0-129-78776-5</t>
  </si>
  <si>
    <t>4620129787765</t>
  </si>
  <si>
    <t>04bd3a6cb7f287132060f4f7f5ffffe8</t>
  </si>
  <si>
    <t>153555</t>
  </si>
  <si>
    <t>MyArt. АЛЬБОМ ДЛЯ ТВОРЧЕСТВА. КОТ</t>
  </si>
  <si>
    <t>468-0-088-47690-2</t>
  </si>
  <si>
    <t>4680088476902</t>
  </si>
  <si>
    <t>4f140db6abbd3a044679ac5dffc28934</t>
  </si>
  <si>
    <t>217520</t>
  </si>
  <si>
    <t>MyArt. АЛЬБОМ ДЛЯ ТВОРЧЕСТВА. ЛЕВ</t>
  </si>
  <si>
    <t>467-0-159-11585-4</t>
  </si>
  <si>
    <t>4670159115854</t>
  </si>
  <si>
    <t>0c0a7ff00bbdcd44408cd9b1122f8e26</t>
  </si>
  <si>
    <t>09.01.2024 0:00:00</t>
  </si>
  <si>
    <t>213328</t>
  </si>
  <si>
    <t>MyArt. АЛЬБОМ ДЛЯ ТВОРЧЕСТВА. МАНГА</t>
  </si>
  <si>
    <t>467-0-159-09415-9</t>
  </si>
  <si>
    <t>4670159094159</t>
  </si>
  <si>
    <t>23d894e50d27f710212e3473acfb3598</t>
  </si>
  <si>
    <t>177646</t>
  </si>
  <si>
    <t>MyArt. АЛЬБОМ ДЛЯ ТВОРЧЕСТВА. ШПИЦ</t>
  </si>
  <si>
    <t>462-0-129-70339-0</t>
  </si>
  <si>
    <t>4620129703390</t>
  </si>
  <si>
    <t>71e181fd552bdec2337d38df33092c9b</t>
  </si>
  <si>
    <t>СЕРИЯ: MyArt. ПРЕДМЕТНАЯ ТЕТРАДЬ "ШКОЛА В ТРЕНДЕ" 40л, выб.лак, кругл.углы 140х200 (офсет 80гр)</t>
  </si>
  <si>
    <t>228054</t>
  </si>
  <si>
    <t>MyArt. ТЕТРАДЬ в клетку Школа в тренде. Важный момент (Математика)</t>
  </si>
  <si>
    <t>467-0-159-16712-9</t>
  </si>
  <si>
    <t>4670159167129</t>
  </si>
  <si>
    <t>228051</t>
  </si>
  <si>
    <t>MyArt. ТЕТРАДЬ в клетку Школа в тренде. Иняз (Иностранный язык)</t>
  </si>
  <si>
    <t>467-0-159-16710-5</t>
  </si>
  <si>
    <t>4670159167105</t>
  </si>
  <si>
    <t>228048</t>
  </si>
  <si>
    <t>MyArt. ТЕТРАДЬ в клетку Школа в тренде. Новые открытия (География)</t>
  </si>
  <si>
    <t>467-0-159-16709-9</t>
  </si>
  <si>
    <t>4670159167099</t>
  </si>
  <si>
    <t>228052</t>
  </si>
  <si>
    <t>MyArt. ТЕТРАДЬ в клетку Школа в тренде. Оставим свой след (История)</t>
  </si>
  <si>
    <t>467-0-159-16711-2</t>
  </si>
  <si>
    <t>4670159167112</t>
  </si>
  <si>
    <t>228060</t>
  </si>
  <si>
    <t>MyArt. ТЕТРАДЬ в клетку Школа в тренде. Хи-Физика (Химия/Физика)</t>
  </si>
  <si>
    <t>467-0-159-16714-3</t>
  </si>
  <si>
    <t>4670159167143</t>
  </si>
  <si>
    <t>228045</t>
  </si>
  <si>
    <t>MyArt. ТЕТРАДЬ в клетку Школа в тренде. Что из этого пестик? (Биология)</t>
  </si>
  <si>
    <t>467-0-159-16708-2</t>
  </si>
  <si>
    <t>4670159167082</t>
  </si>
  <si>
    <t>228057</t>
  </si>
  <si>
    <t>MyArt. ТЕТРАДЬ в линию Школа в тренде. Могучий русский язык (Русский язык)</t>
  </si>
  <si>
    <t>467-0-159-16715-0</t>
  </si>
  <si>
    <t>4670159167150</t>
  </si>
  <si>
    <t>228055</t>
  </si>
  <si>
    <t>MyArt. ТЕТРАДЬ в линию Школа в тренде. Чтение (Литература)</t>
  </si>
  <si>
    <t>467-0-159-16713-6</t>
  </si>
  <si>
    <t>4670159167136</t>
  </si>
  <si>
    <t>СЕРИЯ: MyArt. РАСКРАСКА-АНТИСТРЕСС глянц.ламин. КБС 200х230</t>
  </si>
  <si>
    <t>183335</t>
  </si>
  <si>
    <t>MyArt. РАСКРАСКА-АНТИСТРЕСС 200х230. Мой коуч сказал рисовать природу</t>
  </si>
  <si>
    <t>978-5-378-33392-9</t>
  </si>
  <si>
    <t>Гениальные идеи зачастую приходят, когда мы меньше всего этого ждём. Порой для этого достаточно просто расслабиться и отдохнуть. Но высокий темп жизни, большой список повседневных задач и тревога по этому поводу мешают сконцентрироваться на моменте. Раскраски-антистресс призваны помочь вам настроиться на позитив и отвлечься от проблем. А как известно, природа и котики - это лучшие антидепрессанты на все времена. Раскрашивайте, наполняйтесь ресурсом и заряжайтесь энергией для счастья здесь и сейчас.</t>
  </si>
  <si>
    <t>9785378333929</t>
  </si>
  <si>
    <t>db2322d72817b652cf2a27ffe44c2224</t>
  </si>
  <si>
    <t>200х230х4</t>
  </si>
  <si>
    <t>Tochkabook</t>
  </si>
  <si>
    <t>СЕРИЯ: АНКЕТА-ТОЧКАБУК для девочек, картон.обл. глянц.ламин. 163х210</t>
  </si>
  <si>
    <t>211201</t>
  </si>
  <si>
    <t>АНКЕТА-ТОЧКАБУК для девочек. АНКЕТА ДЛЯ ДРУЗЕЙ. К-POP</t>
  </si>
  <si>
    <t>467-0-159-07648-3</t>
  </si>
  <si>
    <t>Серия "Анкета-точкабук для девочек" - это стильные и яркие дневнички для подружек. Внутри брошюры - красивое и милое оформление и линовка в точку. В дневничке девчонки найдут тесты, опросники, анкеты и несколько идей о том, как развлечься с подругами. Анкета-точкабук поместится практически в любую сумочку и не займёт много места. А это значит, что маленьким подружкам точно не придётся скучать!</t>
  </si>
  <si>
    <t>4670159076483</t>
  </si>
  <si>
    <t>5effd7ec79515a18bcb09c1bae882fc2</t>
  </si>
  <si>
    <t>163х210х5</t>
  </si>
  <si>
    <t>238460</t>
  </si>
  <si>
    <t>АНКЕТА-ТОЧКАБУК для девочек. АНКЕТА С ТЕСТАМИ. КРУТЫЕ ИГРЫ ДЛЯ ДРУЗЕЙ</t>
  </si>
  <si>
    <t>467-0-159-21513-4</t>
  </si>
  <si>
    <t>4670159215134</t>
  </si>
  <si>
    <t>6c44e94b5ecc8b82777945ffe6162dce</t>
  </si>
  <si>
    <t>156873</t>
  </si>
  <si>
    <t>АНКЕТА-ТОЧКАБУК для девочек. ВЕСЁЛЫЕ ДЕВЧОНКИ</t>
  </si>
  <si>
    <t>461-0-144-80039-6</t>
  </si>
  <si>
    <t>4610144800396</t>
  </si>
  <si>
    <t>a441b15e108417345ca5e4279a8865e0</t>
  </si>
  <si>
    <t>225060</t>
  </si>
  <si>
    <t>АНКЕТА-ТОЧКАБУК для девочек. ДЕВОЧКА С СОБАЧКОЙ</t>
  </si>
  <si>
    <t>467-0-159-14052-8</t>
  </si>
  <si>
    <t>4670159140528</t>
  </si>
  <si>
    <t>4ed8c6bf7d54c92a2d154d6d11580134</t>
  </si>
  <si>
    <t>19.12.2024 0:00:00</t>
  </si>
  <si>
    <t>156877</t>
  </si>
  <si>
    <t>АНКЕТА-ТОЧКАБУК для девочек. ЛУЧШИЕ ПОДРУЖКИ</t>
  </si>
  <si>
    <t>461-0-144-80040-2</t>
  </si>
  <si>
    <t>4610144800402</t>
  </si>
  <si>
    <t>d470311667f1599c4e46561db15d9aea</t>
  </si>
  <si>
    <t>156884</t>
  </si>
  <si>
    <t>АНКЕТА-ТОЧКАБУК для девочек. СТИЛЬНАЯ ДЕВЧОНКА</t>
  </si>
  <si>
    <t>461-0-144-80042-6</t>
  </si>
  <si>
    <t>4610144800426</t>
  </si>
  <si>
    <t>5a1f0af7d72ba34f98231d34dba66b20</t>
  </si>
  <si>
    <t>СЕРИЯ: АНКЕТА-ТОЧКАБУК с наклейками, глянц.ламин. картон.обл 155х200</t>
  </si>
  <si>
    <t>222875</t>
  </si>
  <si>
    <t>АНКЕТА-ТОЧКАБУК с наклейками. ДЛЯ МЕНЯ И МОИХ ПОДРУЖЕК</t>
  </si>
  <si>
    <t>467-0-159-13965-2</t>
  </si>
  <si>
    <t xml:space="preserve">Анкета для девочек - это отличный подарок! Самые актуальные вопросы для подруг, интересные рубрики, тематические развороты и классные наклейки помогут весело провести время. А как интересно будет читать анкеты хозяйке после заполнения! Легкий способ узнать лучше своих подруг, подметить мелочи, которые раньше не замечал, или обнаружить общий интерес там, где и не думал его найти!
Яркое стильное оформление, крутые обложки и удобный формат, который не займет много места в и без того тяжелом портфеле. </t>
  </si>
  <si>
    <t>4670159139652</t>
  </si>
  <si>
    <t>155х200х3</t>
  </si>
  <si>
    <t>194600</t>
  </si>
  <si>
    <t>АНКЕТА-ТОЧКАБУК с наклейками. ДЛЯ САМЫХ ЛУЧШИХ ПОДРУГ</t>
  </si>
  <si>
    <t>462-0-129-78410-8</t>
  </si>
  <si>
    <t>4620129784108</t>
  </si>
  <si>
    <t>194598</t>
  </si>
  <si>
    <t>АНКЕТА-ТОЧКАБУК с наклейками. ТОЛЬКО ДЛЯ НАСТОЯЩИХ ПОДРУГ</t>
  </si>
  <si>
    <t>462-0-129-78409-2</t>
  </si>
  <si>
    <t>4620129784092</t>
  </si>
  <si>
    <t>СЕРИЯ: БЛОКНОТ ТОЧКАБУК 72л кругл.углы, 7БЦ 145х203 (бумага 100 гр офсет Котлас)</t>
  </si>
  <si>
    <t>131738</t>
  </si>
  <si>
    <t>ТОЧКАБУК. АНАТОМИЯ</t>
  </si>
  <si>
    <t>463-0-097-51545-1</t>
  </si>
  <si>
    <t>У этих оригинальных блокнотов удобный формат, яркие обложки с круглыми уголками, плотные фиксирующие резинки и линовка листов в точку. Всё это делает точкабуки идеальными помощниками в ведении записей, создании рисунков или даже планов на год.</t>
  </si>
  <si>
    <t>4630097515451</t>
  </si>
  <si>
    <t>185384</t>
  </si>
  <si>
    <t>ТОЧКАБУК. АНИМЕ. СТИЛЬНЫЙ ОБРАЗ (выб.лак)</t>
  </si>
  <si>
    <t>462-0-129-74360-0</t>
  </si>
  <si>
    <t>4620129743600</t>
  </si>
  <si>
    <t>185385</t>
  </si>
  <si>
    <t>ТОЧКАБУК. ДЕВУШКА С ПОДСОЛНУХАМИ (выб.лак)</t>
  </si>
  <si>
    <t>462-0-129-74361-7</t>
  </si>
  <si>
    <t>4620129743617</t>
  </si>
  <si>
    <t>220552</t>
  </si>
  <si>
    <t>ТОЧКАБУК. ДЕВУШКА С ТАТУИРОВКОЙ ДРАКОНА (выб.лак)</t>
  </si>
  <si>
    <t>467-0-159-12512-9</t>
  </si>
  <si>
    <t>4670159125129</t>
  </si>
  <si>
    <t>12.02.2024 0:00:00</t>
  </si>
  <si>
    <t>164928</t>
  </si>
  <si>
    <t>ТОЧКАБУК. ДИНОЗАВРЫ (твин-лак)</t>
  </si>
  <si>
    <t>461-0-144-83998-3</t>
  </si>
  <si>
    <t>4610144839983</t>
  </si>
  <si>
    <t>169775</t>
  </si>
  <si>
    <t>ТОЧКАБУК. КОРАБЛИ</t>
  </si>
  <si>
    <t>461-0-144-86769-6</t>
  </si>
  <si>
    <t>4610144867696</t>
  </si>
  <si>
    <t>130794</t>
  </si>
  <si>
    <t>ТОЧКАБУК. КОРГИ</t>
  </si>
  <si>
    <t>463-0-097-51414-0</t>
  </si>
  <si>
    <t>4630097514140</t>
  </si>
  <si>
    <t>159107</t>
  </si>
  <si>
    <t>ТОЧКАБУК. КОТИК-АВОКАДО (твин-лак)</t>
  </si>
  <si>
    <t>461-0-144-81011-1</t>
  </si>
  <si>
    <t>4610144810111</t>
  </si>
  <si>
    <t>186579</t>
  </si>
  <si>
    <t>ТОЧКАБУК. КОТЯТА. Я ТЕБЯ ЛЮБЛЮ (выб.лак)</t>
  </si>
  <si>
    <t>462-0-129-75316-6</t>
  </si>
  <si>
    <t>4620129753166</t>
  </si>
  <si>
    <t>183526</t>
  </si>
  <si>
    <t>ТОЧКАБУК. МАШИНА В РАЗРЕЗЕ (выб.лак)</t>
  </si>
  <si>
    <t>462-0-129-73282-6</t>
  </si>
  <si>
    <t>4620129732826</t>
  </si>
  <si>
    <t>220554</t>
  </si>
  <si>
    <t>ТОЧКАБУК. МОДНЫЙ К-ПОП (выб.лак)</t>
  </si>
  <si>
    <t>467-0-159-12513-6</t>
  </si>
  <si>
    <t>4670159125136</t>
  </si>
  <si>
    <t>159106</t>
  </si>
  <si>
    <t>ТОЧКАБУК. СОБАЧКИ (твин-лак)</t>
  </si>
  <si>
    <t>461-0-144-81012-8</t>
  </si>
  <si>
    <t>4610144810128</t>
  </si>
  <si>
    <t>252301</t>
  </si>
  <si>
    <t>ТОЧКАБУК. ТВОРЧЕСТВО</t>
  </si>
  <si>
    <t>467-0-159-26288-6</t>
  </si>
  <si>
    <t>4670159262886</t>
  </si>
  <si>
    <t>122111</t>
  </si>
  <si>
    <t>ТОЧКАБУК. ЦВЕТЫ</t>
  </si>
  <si>
    <t>463-0-079-15368-8</t>
  </si>
  <si>
    <t>4630079153688</t>
  </si>
  <si>
    <t>186578</t>
  </si>
  <si>
    <t>ТОЧКАБУК. ЯПОНКА ПОД ЗОНТИКОМ (выб.лак)</t>
  </si>
  <si>
    <t>462-0-129-75315-9</t>
  </si>
  <si>
    <t>4620129753159</t>
  </si>
  <si>
    <t>137070</t>
  </si>
  <si>
    <t>ТОЧКАБУК. ЯПОНСКАЯ КОШКА (выб.лак)</t>
  </si>
  <si>
    <t>468-0-088-40447-9</t>
  </si>
  <si>
    <t>4680088404479</t>
  </si>
  <si>
    <t>СЕРИЯ: БЛОКНОТ ТОЧКАБУК Animal print 64л, выб.лак, кругл.углы, ляссе, 7БЦ 130х190 (бум 100гр)</t>
  </si>
  <si>
    <t>207533</t>
  </si>
  <si>
    <t>ТОЧКАБУК Animal print. ЗЕБРА</t>
  </si>
  <si>
    <t>467-0-159-05835-9</t>
  </si>
  <si>
    <t xml:space="preserve">Анималистичные принты всегда пользовались популярностью и привлекали к себе внимание. В современном мире это стало настоящим трендом! Модницы и модники спешат приобрести каждую вещь с подобным рисунком. </t>
  </si>
  <si>
    <t>4670159058359</t>
  </si>
  <si>
    <t>матовая ламинация</t>
  </si>
  <si>
    <t>130х190х12</t>
  </si>
  <si>
    <t>207532</t>
  </si>
  <si>
    <t>ТОЧКАБУК Animal print. ЛЕОПАРД</t>
  </si>
  <si>
    <t>467-0-159-05833-5</t>
  </si>
  <si>
    <t>4670159058335</t>
  </si>
  <si>
    <t>5511ea07a487273759781d995cce45c0</t>
  </si>
  <si>
    <t>207537</t>
  </si>
  <si>
    <t>ТОЧКАБУК Animal print. РОЗОВЫЙ ЖИРАФ</t>
  </si>
  <si>
    <t>467-0-159-05836-6</t>
  </si>
  <si>
    <t>4670159058366</t>
  </si>
  <si>
    <t>b1d9062f2330b82672e023399405678a</t>
  </si>
  <si>
    <t>207536</t>
  </si>
  <si>
    <t>ТОЧКАБУК Animal print. ТИГР</t>
  </si>
  <si>
    <t>467-0-159-05834-2</t>
  </si>
  <si>
    <t>4670159058342</t>
  </si>
  <si>
    <t>728101e908e0eadd23c191a525944805</t>
  </si>
  <si>
    <t>СЕРИЯ: БЛОКНОТ ТОЧКАБУК Basic 48л софт-тач, индивид.упак. кругл.углы, 7БЦ 145х203 (бумага 100гр)</t>
  </si>
  <si>
    <t>207181</t>
  </si>
  <si>
    <t>БЛОКНОТ ТОЧКАБУК Basic. ЧЁРНЫЙ</t>
  </si>
  <si>
    <t>467-0-159-05766-6</t>
  </si>
  <si>
    <t>Точкабуки Basic понравятся абсолютно всем. Лаконичные обложки, где кроме приятных оттенков и красивой надписи нет абсолютно ничего. Особенно оценят эти блокноты любители минимализма и те, кому по статусу положено делать выбор в пользу классики. Благодаря удобному формату блокноты легко помещаются практически в любую сумку. На обложках мы сделали покрытие soft touch, чтобы вы не захотел выпускать эти точкабуки из рук.</t>
  </si>
  <si>
    <t>4670159057666</t>
  </si>
  <si>
    <t>145х203х10</t>
  </si>
  <si>
    <t>207184</t>
  </si>
  <si>
    <t>БЛОКНОТ ТОЧКАБУК Basic. ЯРКО-РОЗОВЫЙ</t>
  </si>
  <si>
    <t>467-0-159-05768-0</t>
  </si>
  <si>
    <t>4670159057680</t>
  </si>
  <si>
    <t>СЕРИЯ: БЛОКНОТ ТОЧКАБУК Couple Bracelets с браслетами 64л выб.лак, кругл.углы 145х203 (офсет 100гр)</t>
  </si>
  <si>
    <t>233215</t>
  </si>
  <si>
    <t>БЛОКНОТ ТОЧКАБУК Couple Bracelets с браслетами. ВЛЮБЛЁННЫЕ С КРАСНОЙ НИТЬЮ</t>
  </si>
  <si>
    <t>467-0-159-18466-9</t>
  </si>
  <si>
    <t>Серия "Tochkabook Couple"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их герои — милые парочки. В подарок к каждому блокноту мы положили два браслета из красной мягкой нити с бусиной. Вы можете подарить один из аксессуаров близкому человеку и носить на пару, тем самым поддержав популярный азиатский тренд на парные вещи.
Блокнот и браслеты на подложке упакованы в индивидуальный пакет, чтобы обеспечить полную сохранность всех товаров.
Самая романтичная серия точкабуков понравится всем без исключения!</t>
  </si>
  <si>
    <t>4670159184669</t>
  </si>
  <si>
    <t>d2179f0372094ca7c43c508f3ce2e828</t>
  </si>
  <si>
    <t>162x204x12</t>
  </si>
  <si>
    <t>233216</t>
  </si>
  <si>
    <t>БЛОКНОТ ТОЧКАБУК Couple Bracelets с браслетами. ПАРОЧКА С КНИГОЙ</t>
  </si>
  <si>
    <t>467-0-159-18467-6</t>
  </si>
  <si>
    <t>4670159184676</t>
  </si>
  <si>
    <t>0cc6e764ce0cf0a9916f6f4e95011e8c</t>
  </si>
  <si>
    <t>233217</t>
  </si>
  <si>
    <t>БЛОКНОТ ТОЧКАБУК Couple Bracelets с браслетами. ПАРОЧКА С СЕРДЕЧКОМ</t>
  </si>
  <si>
    <t xml:space="preserve">467-0-159-18468-3 </t>
  </si>
  <si>
    <t xml:space="preserve">4670159184683 </t>
  </si>
  <si>
    <t>81f45719b1bec9071871a857a514775e</t>
  </si>
  <si>
    <t>233214</t>
  </si>
  <si>
    <t>БЛОКНОТ ТОЧКАБУК Couple Bracelets с браслетами. ПРИЗНАНИЕ В ЛЮБВИ</t>
  </si>
  <si>
    <t>467-0-159-18465-2</t>
  </si>
  <si>
    <t xml:space="preserve">4670159184652 </t>
  </si>
  <si>
    <t>2b70774ed1ee57c6394898a4a3d3292d</t>
  </si>
  <si>
    <t>СЕРИЯ: БЛОКНОТ ТОЧКАБУК Everyday 24л, на скрепке, выб.лак, кругл.углы, 163х215 (бумага 80гр)</t>
  </si>
  <si>
    <t>222379</t>
  </si>
  <si>
    <t>ТОЧКАБУК Everyday. ДЕВУШКА В КЕПКЕ СО ЗНАЧКАМИ</t>
  </si>
  <si>
    <t>467-0-159-13441-1</t>
  </si>
  <si>
    <t>Серия "Точкабук everyday"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В блокноте 48 страниц, которые ждут, чтобы быть заполненными яркими идеями, рисунками и заметками. Серия "Точкабуки everyday" идеально подходит для школьных занятий, домашнего планирования или просто для увлекательного времяпрепровождения. Эти блокноты тетрадного формата помогут вашему ребёнку организовать свои идеи и вдохновить на новые творческие проекты.</t>
  </si>
  <si>
    <t>4670159134411</t>
  </si>
  <si>
    <t>546fbec01a82cc1ab15396a73284e65c</t>
  </si>
  <si>
    <t>163х215х4</t>
  </si>
  <si>
    <t>222380</t>
  </si>
  <si>
    <t>ТОЧКАБУК Everyday. ДЕВУШКА С ЯПОНСКИМИ ФОНАРИКАМИ</t>
  </si>
  <si>
    <t>467-0-159-13440-4</t>
  </si>
  <si>
    <t>4670159134404</t>
  </si>
  <si>
    <t>b2f61d2711282fa30f863041ed8570c2</t>
  </si>
  <si>
    <t>222377</t>
  </si>
  <si>
    <t>ТОЧКАБУК Everyday. ЛУННАЯ ДЕВУШКА</t>
  </si>
  <si>
    <t>467-0-159-13439-8</t>
  </si>
  <si>
    <t>4670159134398</t>
  </si>
  <si>
    <t>5e740bbb833db545b11f68e9949ad671</t>
  </si>
  <si>
    <t>222378</t>
  </si>
  <si>
    <t>ТОЧКАБУК Everyday. МИЛАЯ ДЕВОЧКА С КОТИКАМИ</t>
  </si>
  <si>
    <t>467-0-159-13442-8</t>
  </si>
  <si>
    <t>4670159134428</t>
  </si>
  <si>
    <t>aacee8c620d74805e5efad99b106fb42</t>
  </si>
  <si>
    <t>СЕРИЯ: БЛОКНОТ ТОЧКАБУК Large 72л, мат.ламин, кругл.углы, 7БЦ 205х246 (бумага 80гр)</t>
  </si>
  <si>
    <t>209661</t>
  </si>
  <si>
    <t>ТОЧКАБУК Large. АНАТОМИЯ</t>
  </si>
  <si>
    <t>467-0-159-06342-1</t>
  </si>
  <si>
    <t>Точкабуки теперь и в формате А4! Линовка в точку и увеличенный формат делают блокнот удобным для скетчинга, а также для ведения записей. Также точкабук Large можно использовать в качестве амбарной книги. Дизайны обложек  рассчитаны и для тех, кто любит лаконичный стиль, и для любителей аниме.</t>
  </si>
  <si>
    <t>4670159063421</t>
  </si>
  <si>
    <t>204х246х11</t>
  </si>
  <si>
    <t>209663</t>
  </si>
  <si>
    <t>ТОЧКАБУК Large. ДЕВУШКА-ВОИН</t>
  </si>
  <si>
    <t>467-0-159-06341-4</t>
  </si>
  <si>
    <t>4670159063414</t>
  </si>
  <si>
    <t>221022</t>
  </si>
  <si>
    <t>ТОЧКАБУК Large. РОЗОВЫЙ</t>
  </si>
  <si>
    <t>467-0-159-12792-5</t>
  </si>
  <si>
    <t>4670159127925</t>
  </si>
  <si>
    <t>5152e467edc0c2b03d4931c72122b89f</t>
  </si>
  <si>
    <t>13.02.2024 0:00:00</t>
  </si>
  <si>
    <t>209658</t>
  </si>
  <si>
    <t>ТОЧКАБУК Large. СЕРЫЙ</t>
  </si>
  <si>
    <t>467-0-159-06340-7</t>
  </si>
  <si>
    <t>4670159063407</t>
  </si>
  <si>
    <t>221021</t>
  </si>
  <si>
    <t>ТОЧКАБУК Large. СИНИЙ</t>
  </si>
  <si>
    <t>467-0-159-12791-8</t>
  </si>
  <si>
    <t>4670159127918</t>
  </si>
  <si>
    <t>feb6710a1cbf2991033946e40f34dcf7</t>
  </si>
  <si>
    <t>209660</t>
  </si>
  <si>
    <t>ТОЧКАБУК Large. ЧЁРНЫЙ</t>
  </si>
  <si>
    <t>467-0-159-06339-1</t>
  </si>
  <si>
    <t>4670159063391</t>
  </si>
  <si>
    <t>СЕРИЯ: БЛОКНОТ ТОЧКАБУК Little 64л на гребне, выб.лак 110х150 (бумага 100гр)</t>
  </si>
  <si>
    <t>224755</t>
  </si>
  <si>
    <t>БЛОКНОТ ТОЧКАБУК Little. КОТИК И СУШИ</t>
  </si>
  <si>
    <t>467-0-159-13985-0</t>
  </si>
  <si>
    <t xml:space="preserve">Серия "Точкабук Little" - это абсолютно японские блокноты! Эти точкабуки сделаны в самых лучших традициях японской анимации - нежные, лаконичные и супермилые. Блокноты небольшого формата, что позволит брать их с собой куда угодно. Благодаря листам в точку вы сможете использовать свой точкабук как для записей, так и для скетчинга. </t>
  </si>
  <si>
    <t>4670159139850</t>
  </si>
  <si>
    <t>120х150х15</t>
  </si>
  <si>
    <t>224754</t>
  </si>
  <si>
    <t>БЛОКНОТ ТОЧКАБУК Little. КОТИК НА ПЛЯЖЕ</t>
  </si>
  <si>
    <t>467-0-159-13984-3</t>
  </si>
  <si>
    <t>4670159139843</t>
  </si>
  <si>
    <t>224753</t>
  </si>
  <si>
    <t>БЛОКНОТ ТОЧКАБУК Little. КОТИК С ЯПОНСКИМИ КАРПАМИ</t>
  </si>
  <si>
    <t>467-0-159-13983-6</t>
  </si>
  <si>
    <t>4670159139836</t>
  </si>
  <si>
    <t>224752</t>
  </si>
  <si>
    <t>БЛОКНОТ ТОЧКАБУК Little. СПЯЩИЙ КОТИК</t>
  </si>
  <si>
    <t>467-0-159-13982-9</t>
  </si>
  <si>
    <t>4670159139829</t>
  </si>
  <si>
    <t>СЕРИЯ: БЛОКНОТ ТОЧКАБУК Magic 64л мат.ламин, тиснение, кругл.углы, инд.упак. 7БЦ 145х203 (бум 100гр)</t>
  </si>
  <si>
    <t>215240</t>
  </si>
  <si>
    <t>БЛОКНОТ ТОЧКАБУК Magic. БЕЛЫЙ</t>
  </si>
  <si>
    <t>467-0-159-09298-8</t>
  </si>
  <si>
    <t xml:space="preserve">Серия "Tochkabook Magic" - это невероятно красивые магические блокноты, которые понравятся абсолютно всем. Благодаря золотому тиснению обложки красиво переливаются при любом освещении. У каждого блокнота цветной форзац в тон обложке. Точкабуки комфортного формата, чтобы они легко поместились в сумку или портфель. Невероятно популярные сейчас магические орнаменты приглянутся фанатам эзотерики. Они прекрасно подойдут для записей тарологам. Блокноты упакованы в индивидуальный пакет для большей безопасности. </t>
  </si>
  <si>
    <t>4670159092988</t>
  </si>
  <si>
    <t>f98f04e6f3fac009c3f169a175d8f623</t>
  </si>
  <si>
    <t>215238</t>
  </si>
  <si>
    <t>БЛОКНОТ ТОЧКАБУК Magic. СИНИЙ</t>
  </si>
  <si>
    <t>467-0-159-09299-5</t>
  </si>
  <si>
    <t>4670159092995</t>
  </si>
  <si>
    <t>75f0df4d5d705372579ef93cc79f8ad7</t>
  </si>
  <si>
    <t>15.11.2023 0:00:00</t>
  </si>
  <si>
    <t>215239</t>
  </si>
  <si>
    <t>БЛОКНОТ ТОЧКАБУК Magic. ФИОЛЕТОВЫЙ</t>
  </si>
  <si>
    <t>467-0-159-09300-8</t>
  </si>
  <si>
    <t>4670159093008</t>
  </si>
  <si>
    <t>7eab575be15c636acaa52f86bfa96918</t>
  </si>
  <si>
    <t>СЕРИЯ: БЛОКНОТ ТОЧКАБУК Marble 64л мат.ламин, глиттер, кругл.углы, инд.упак.7БЦ 145х203 (бум 100гр)</t>
  </si>
  <si>
    <t>225642</t>
  </si>
  <si>
    <t>БЛОКНОТ ТОЧКАБУК Marble. БИРЮЗОВЫЙ</t>
  </si>
  <si>
    <t>467-0-159-13662-0</t>
  </si>
  <si>
    <t>Новые точкабуки "Marble” привлекут внимание самых искушённых покупателей. Дизайн под мрамор до сих пор остаётся невероятно популярным среди покупателей. Именно поэтому мы расширили привычную палитру серии. Теперь можно приобрести не только классический белый и чёрный, но и дерзкий фиолетовый и нежно-бирюзовый. Особенностью данных точкабуков является специальное покрытие — золотой глиттер. Обложки мягко переливаются, а при естественном освещении — сияют. Стандартный формат и листы в точку — для вашего удобства. Все это делает серию "Marble" отличным подарком не только себе, но и близким.</t>
  </si>
  <si>
    <t>4670159136620</t>
  </si>
  <si>
    <t>f3bca4d937cf49447f548635cc918bf9</t>
  </si>
  <si>
    <t>матовая ламинация+глиттер</t>
  </si>
  <si>
    <t>145х203х11</t>
  </si>
  <si>
    <t>СЕРИЯ: БЛОКНОТ ТОЧКАБУК Medium 72л твин лак, тиснение, резинка, 7БЦ 160х240 (бумага 100гр)</t>
  </si>
  <si>
    <t>181634</t>
  </si>
  <si>
    <t>ТОЧКАБУК Medium. ВИКИНГ</t>
  </si>
  <si>
    <t>462-0-129-72675-7</t>
  </si>
  <si>
    <t>Точкабук с брутальным викингом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</si>
  <si>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4620129726757</t>
  </si>
  <si>
    <t>160х240х14</t>
  </si>
  <si>
    <t>133375</t>
  </si>
  <si>
    <t>ТОЧКАБУК Medium. ДЕВУШКА-ВОДА</t>
  </si>
  <si>
    <t>463-0-097-51558-1</t>
  </si>
  <si>
    <t>Новая серия точкабуков с космическими девушками объединяет в себе все черты идеального блокнота: внутри точкабука - плотные страницы увеличенного формата, а также удобная линовка в точку. Переливающаяся и фактурная обложка с круглёными уголками делает точкабук не только завораживающе привлекательным, но и защищает его от царапин и загрязнения при длительном использовании. Фиксирующая резинка убережёт блокнот от раскрытия в сумке.</t>
  </si>
  <si>
    <t>4630097515581</t>
  </si>
  <si>
    <t>133374</t>
  </si>
  <si>
    <t>ТОЧКАБУК Medium. ДЕВУШКА-ВОЗДУХ</t>
  </si>
  <si>
    <t>463-0-097-51557-4</t>
  </si>
  <si>
    <t>4630097515574</t>
  </si>
  <si>
    <t>133376</t>
  </si>
  <si>
    <t>ТОЧКАБУК Medium. ДЕВУШКА-ЗЕМЛЯ</t>
  </si>
  <si>
    <t>463-0-097-51560-4</t>
  </si>
  <si>
    <t>4630097515604</t>
  </si>
  <si>
    <t>133373</t>
  </si>
  <si>
    <t>ТОЧКАБУК Medium. ДЕВУШКА-ОГОНЬ</t>
  </si>
  <si>
    <t>463-0-097-51556-7</t>
  </si>
  <si>
    <t>4630097515567</t>
  </si>
  <si>
    <t>181632</t>
  </si>
  <si>
    <t>ТОЧКАБУК Medium. ДОБЕРМАН</t>
  </si>
  <si>
    <t>462-0-129-72674-0</t>
  </si>
  <si>
    <t>Точкабук с брутальными доберманом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</si>
  <si>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4620129726740</t>
  </si>
  <si>
    <t>СЕРИЯ: БЛОКНОТ ТОЧКАБУК Mini 64л мат.ламин, выб.лак, кругл.углы, резинка, 7БЦ 109х148 (бум 100гр)</t>
  </si>
  <si>
    <t>215244</t>
  </si>
  <si>
    <t>ТОЧКАБУК Mini. АППЕТИТНЫЙ РАМЕН</t>
  </si>
  <si>
    <t>467-0-159-09752-5</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</si>
  <si>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</si>
  <si>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4670159097525</t>
  </si>
  <si>
    <t>110х149х11</t>
  </si>
  <si>
    <t>198704</t>
  </si>
  <si>
    <t>ТОЧКАБУК Mini. ВЕДЬМОЧКА</t>
  </si>
  <si>
    <t>467-0-159-00512-4</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</si>
  <si>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</si>
  <si>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4670159005124</t>
  </si>
  <si>
    <t>225052</t>
  </si>
  <si>
    <t>ТОЧКАБУК Mini. ВОЗЛЮБЛЕННЫЕ</t>
  </si>
  <si>
    <t>467-0-159-14939-2</t>
  </si>
  <si>
    <t>4670159149392</t>
  </si>
  <si>
    <t>23.05.2024 0:00:00</t>
  </si>
  <si>
    <t>225056</t>
  </si>
  <si>
    <t>ТОЧКАБУК Mini. ВОЛШЕБНАЯ ПТИЦА</t>
  </si>
  <si>
    <t>467-0-159-14942-2</t>
  </si>
  <si>
    <t>4670159149422</t>
  </si>
  <si>
    <t>230032</t>
  </si>
  <si>
    <t>ТОЧКАБУК Mini. ВОЛШЕБНЫЙ ЗАМОК</t>
  </si>
  <si>
    <t>467-0-159-17079-2</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</si>
  <si>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</si>
  <si>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4670159170792</t>
  </si>
  <si>
    <t>5ee6670e5c61a99e201f0b5976c6e74c</t>
  </si>
  <si>
    <t>22.10.2024 0:00:00</t>
  </si>
  <si>
    <t>215245</t>
  </si>
  <si>
    <t>ТОЧКАБУК Mini. ГОРЫ</t>
  </si>
  <si>
    <t>467-0-159-09204-9</t>
  </si>
  <si>
    <t>4670159092049</t>
  </si>
  <si>
    <t>230033</t>
  </si>
  <si>
    <t>ТОЧКАБУК Mini. ДЕВУШКА И ЗВЁЗДЫ</t>
  </si>
  <si>
    <t>467-0-159-17080-8</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</si>
  <si>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</si>
  <si>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4670159170808</t>
  </si>
  <si>
    <t>00f118d7d240dc035219cddab808101b</t>
  </si>
  <si>
    <t>176567</t>
  </si>
  <si>
    <t>ТОЧКАБУК Mini. ЗАБАВНЫЕ КОРГИ</t>
  </si>
  <si>
    <t>461-0-144-88520-1</t>
  </si>
  <si>
    <t>4610144885201</t>
  </si>
  <si>
    <t>198712</t>
  </si>
  <si>
    <t>ТОЧКАБУК Mini. ЗЕБРА</t>
  </si>
  <si>
    <t>467-0-159-00390-8</t>
  </si>
  <si>
    <t>4670159003908</t>
  </si>
  <si>
    <t>198707</t>
  </si>
  <si>
    <t>ТОЧКАБУК Mini. ЛЮБИМЫЙ ПЛЕЙЛИСТ</t>
  </si>
  <si>
    <t>467-0-159-00514-8</t>
  </si>
  <si>
    <t>4670159005148</t>
  </si>
  <si>
    <t>230031</t>
  </si>
  <si>
    <t>ТОЧКАБУК Mini. МАГИЧЕСКИЙ КОТ</t>
  </si>
  <si>
    <t>467-0-159-17078-5</t>
  </si>
  <si>
    <t>4670159170785</t>
  </si>
  <si>
    <t>a2842111e81c61dbb0234fe9cd992273</t>
  </si>
  <si>
    <t>225055</t>
  </si>
  <si>
    <t>ТОЧКАБУК Mini. МАГИЯ</t>
  </si>
  <si>
    <t>467-0-159-14941-5</t>
  </si>
  <si>
    <t>4670159149415</t>
  </si>
  <si>
    <t>29.05.2024 0:00:00</t>
  </si>
  <si>
    <t>198706</t>
  </si>
  <si>
    <t>ТОЧКАБУК Mini. МАЛЫШКА ЧИБИ</t>
  </si>
  <si>
    <t>467-0-159-00513-1</t>
  </si>
  <si>
    <t>4670159005131</t>
  </si>
  <si>
    <t>215242</t>
  </si>
  <si>
    <t>ТОЧКАБУК Mini. РАМЕН С ВОЛНОЙ В КАНАГАВЕ</t>
  </si>
  <si>
    <t>467-0-159-09751-8</t>
  </si>
  <si>
    <t>4670159097518</t>
  </si>
  <si>
    <t>225054</t>
  </si>
  <si>
    <t>ТОЧКАБУК Mini. РУКИ ВЛЮБЛЁННЫХ</t>
  </si>
  <si>
    <t>467-0-159-14940-8</t>
  </si>
  <si>
    <t>4670159149408</t>
  </si>
  <si>
    <t>230030</t>
  </si>
  <si>
    <t>ТОЧКАБУК Mini. РУКИ И СЕРДЦЕ</t>
  </si>
  <si>
    <t>467-0-159-17077-8</t>
  </si>
  <si>
    <t>4670159170778</t>
  </si>
  <si>
    <t>a1829efd6de5641d0871ed9a1e0e1453</t>
  </si>
  <si>
    <t>215241</t>
  </si>
  <si>
    <t>ТОЧКАБУК Mini. ХИНКАЛИ</t>
  </si>
  <si>
    <t>467-0-159-09750-1</t>
  </si>
  <si>
    <t>4670159097501</t>
  </si>
  <si>
    <t>16.02.2024 0:00:00</t>
  </si>
  <si>
    <t>СЕРИЯ: БЛОКНОТ ТОЧКАБУК с холодным тиснением 64л выб.лак, ляссе, 7БЦ 162х222 (бумага монди 100гр)</t>
  </si>
  <si>
    <t>194581</t>
  </si>
  <si>
    <t>ТОЧКАБУК 162х222 с холодным тиснением. ВОЛК</t>
  </si>
  <si>
    <t>462-0-129-78382-8</t>
  </si>
  <si>
    <t xml:space="preserve"> 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</si>
  <si>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4620129783828</t>
  </si>
  <si>
    <t>162х222х12</t>
  </si>
  <si>
    <t>220572</t>
  </si>
  <si>
    <t>ТОЧКАБУК 162х222 с холодным тиснением. Девушка в стиле киберпанк</t>
  </si>
  <si>
    <t>467-0-159-11831-2</t>
  </si>
  <si>
    <t>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</si>
  <si>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4670159118312</t>
  </si>
  <si>
    <t>2164361d2a6a3aa6684bc87f4b0a04ac</t>
  </si>
  <si>
    <t>18.04.2024 0:00:00</t>
  </si>
  <si>
    <t>162х222х13</t>
  </si>
  <si>
    <t>194582</t>
  </si>
  <si>
    <t>ТОЧКАБУК 162х222 с холодным тиснением. ДЕВУШКА С ТАРО</t>
  </si>
  <si>
    <t>462-0-129-78383-5</t>
  </si>
  <si>
    <t>4620129783835</t>
  </si>
  <si>
    <t>2ac31331f3c8e7b187e4956f687a2a83</t>
  </si>
  <si>
    <t>196794</t>
  </si>
  <si>
    <t>ТОЧКАБУК 162х222 с холодным тиснением. ДРАКОН</t>
  </si>
  <si>
    <t>462-0-129-79472-5</t>
  </si>
  <si>
    <t>4620129794725</t>
  </si>
  <si>
    <t>196792</t>
  </si>
  <si>
    <t>ТОЧКАБУК 162х222 с холодным тиснением. МИСТИЧЕСКИЙ КОТ</t>
  </si>
  <si>
    <t>462-0-129-79471-8</t>
  </si>
  <si>
    <t>4620129794718</t>
  </si>
  <si>
    <t>220574</t>
  </si>
  <si>
    <t>ТОЧКАБУК 162х222 с холодным тиснением. Повелительница стихий</t>
  </si>
  <si>
    <t>467-0-159-12659-1</t>
  </si>
  <si>
    <t>4670159126591</t>
  </si>
  <si>
    <t>807a60e9e930056d3323bc951f89d22c</t>
  </si>
  <si>
    <t>Альбомы для фото</t>
  </si>
  <si>
    <t>СЕРИЯ: АЛЬБОМ ДЛЯ ФОТО глянц.ламин. офсет, тв.обл.230х270</t>
  </si>
  <si>
    <t>023490</t>
  </si>
  <si>
    <t>АЛЬБОМ ДЛЯ ФОТО. НАШ МАЛЫШ (РОЗОВЫЙ для девочек)</t>
  </si>
  <si>
    <t>978-5-378-11717-8</t>
  </si>
  <si>
    <t>Чтобы сохранить воспоминания о первых днях и месяцах жизни вашего крохи,удобнее всего будет собирать и вклеивать фотографии с важнейшими событиями в специальный альбом. Также рядом со снимками достаточно места,куда можно вписать свои комментарии и забавные истории, связанные с вашим малышом.</t>
  </si>
  <si>
    <t>9785378117178</t>
  </si>
  <si>
    <t>01.11.2017 0:00:00</t>
  </si>
  <si>
    <t>Альбом для фото и записей</t>
  </si>
  <si>
    <t>230x270x7</t>
  </si>
  <si>
    <t>023503</t>
  </si>
  <si>
    <t>АЛЬБОМ ДЛЯ ФОТО. НАШ МАЛЫШ (СИНИЙ для мальчиков)</t>
  </si>
  <si>
    <t>978-5-378-11718-5</t>
  </si>
  <si>
    <t>9785378117185</t>
  </si>
  <si>
    <t>СЕРИЯ: АЛЬБОМ ДЛЯ ФОТО И ЗАПИСЕЙ глянц.ламин. 32 стр 230х270</t>
  </si>
  <si>
    <t>193684</t>
  </si>
  <si>
    <t>ФОТОАЛЬБОМ 230х268. НАШ СЫНОК</t>
  </si>
  <si>
    <t>978-5-378-33960-0</t>
  </si>
  <si>
    <t>Первый год жизни – непростой и необычный, насыщенный и потрясающий! Он полон удивительных изменений и событий, новых достижений и эмоций. Воспоминания о важном периоде для всей семьи вы сможете сохранить в этом фотоальбоме.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</si>
  <si>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9785378339600</t>
  </si>
  <si>
    <t>547f056f79f33d68d25585df28f5a96c</t>
  </si>
  <si>
    <t>230x268x5</t>
  </si>
  <si>
    <t>193685</t>
  </si>
  <si>
    <t>ФОТОАЛЬБОМ 230х268. НАША ДОЧЕНЬКА</t>
  </si>
  <si>
    <t>978-5-378-33961-7</t>
  </si>
  <si>
    <t>9785378339617</t>
  </si>
  <si>
    <t>16c27c4d7a3b656fa2b19fdc26b9411e</t>
  </si>
  <si>
    <t>СЕРИЯ: АЛЬБОМ ДЛЯ ФОТО И ЗАПИСЕЙ мат.ламин, выб.лак. кругл.углы 32 стр 240х290</t>
  </si>
  <si>
    <t>221921</t>
  </si>
  <si>
    <t>АЛЬБОМ ДЛЯ ФОТО И ЗАПИСЕЙ. ЛУЧШИЙ ДЛЯ МАМЫ</t>
  </si>
  <si>
    <t>978-5-378-34627-1</t>
  </si>
  <si>
    <t>Первый год жизни - непростой и необычный, насыщенный и потрясающий! Он полон удивительных изменений и событий, новых достижений и эмоций. В новом альбоме для фото и записей "Лучший для мамы" мама сможет сохранить воспоминания о важном периоде для всей семьи.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</si>
  <si>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9785378346271</t>
  </si>
  <si>
    <t>a00d02282594fe56141552663bc28d05</t>
  </si>
  <si>
    <t>240х290х5</t>
  </si>
  <si>
    <t>СЕРИЯ: АЛЬБОМ ДЛЯ ФОТО И ЗАПИСЕЙ мат.ламин, выб.лак. кругл.углы 48 стр 250х290</t>
  </si>
  <si>
    <t>181494</t>
  </si>
  <si>
    <t>ФОТОАЛЬБОМ 250х290. НАШ СЫНОЧЕК</t>
  </si>
  <si>
    <t>978-5-378-33233-5</t>
  </si>
  <si>
    <t>Сохранить в памяти драгоценные моменты вам помогут эти замечательные альбомы. Яркие страницы с милыми персонажами сберегут самые трогательные воспоминания, пожелания, забавные истории, и, конечно, фотографии.</t>
  </si>
  <si>
    <t>9785378332335</t>
  </si>
  <si>
    <t>250x290x7</t>
  </si>
  <si>
    <t>181496</t>
  </si>
  <si>
    <t>ФОТОАЛЬБОМ 250х290. НАША ДОЧЕНЬКА</t>
  </si>
  <si>
    <t>978-5-378-33234-2</t>
  </si>
  <si>
    <t>9785378332342</t>
  </si>
  <si>
    <t>Блокноты</t>
  </si>
  <si>
    <t>СЕРИЯ: БЛОКНОТ 40л КБС мат.ламин, выб.лак 165х240 (офсет 100гр)</t>
  </si>
  <si>
    <t>204842</t>
  </si>
  <si>
    <t>БЛОКНОТ КБС. БЛОКНОТ-АНКЕТА</t>
  </si>
  <si>
    <t>467-0-159-04379-9</t>
  </si>
  <si>
    <t xml:space="preserve">Представляем новинку: блокнот-анкета для самых стильных и откровенных! Оригинальный дизайн не оставит равнодушным даже самого взыскательного тинейджера и непременно впишется в его неординарные будни. Рисуй, раскрашивай, составляй личные рейтинги и честно отвечай на вопросы – пусть блокнот станет твоей личной книгой, которая на годы сохранит частичку внутреннего мира и настроение в момент заполнения страничек. </t>
  </si>
  <si>
    <t>4670159043799</t>
  </si>
  <si>
    <t>165х240х6</t>
  </si>
  <si>
    <t>204843</t>
  </si>
  <si>
    <t>БЛОКНОТ КБС. ВЫХОД ИЗ ТУПИКА</t>
  </si>
  <si>
    <t>467-0-159-04384-3</t>
  </si>
  <si>
    <t>Знаете, какой навык оплачивается лучше всего? Креативность! Человек, мыслящий шаблонами, не может придумать ничего нового. Потому что для этого нужно выйти за рамки привычной трактовки, сломать шаблон, освоить новые горизонты данных. Этот КРЕАТИВНЫЙ БЛОКНОТ создан для развития творческого мышления. Многие задания здесь могут показаться глупыми, детскими, бессмысленными - и вы не ошиблись. Именно такие они и есть. Лучше всего мозг развивается в игре, и чтобы проведённое время стало для него полезным, стоит как следует подурачиться. Попросите своего внутреннего критика выйти попить кофе и отдохнуть, а мы начинаем...</t>
  </si>
  <si>
    <t>4670159043843</t>
  </si>
  <si>
    <t>12+</t>
  </si>
  <si>
    <t>204844</t>
  </si>
  <si>
    <t>БЛОКНОТ КБС. ДУМАЙ, ДЕЙСТВУЙ, ДЕЛАЙ</t>
  </si>
  <si>
    <t>467-0-159-04385-0</t>
  </si>
  <si>
    <t>4670159043850</t>
  </si>
  <si>
    <t>СЕРИЯ: БЛОКНОТ ПАЦАНА 40л КБС глянц.ламин, кругл.углы 160х220 (офсет 80гр)</t>
  </si>
  <si>
    <t>237848</t>
  </si>
  <si>
    <t>БЛОКНОТ ПАЦАНА. Жёлтый</t>
  </si>
  <si>
    <t xml:space="preserve">467-0-159-20973-7 </t>
  </si>
  <si>
    <t>Девчонки, проходите мимо! Серия «Блокнот пацана» – для самых крутых и уверенных в себе ребят, которым нужно привести в порядок свои мысли, наметить цели, а также зафиксировать важную информацию о себе.</t>
  </si>
  <si>
    <t>4670159209737</t>
  </si>
  <si>
    <t>3e9570837113fcee3199ab9b7f387f34</t>
  </si>
  <si>
    <t>160х220х6</t>
  </si>
  <si>
    <t>237844</t>
  </si>
  <si>
    <t>БЛОКНОТ ПАЦАНА. Красный</t>
  </si>
  <si>
    <t>467-0-159-20970-6</t>
  </si>
  <si>
    <t>4670159209706</t>
  </si>
  <si>
    <t>a0eb39a333a12d5e857bc1953e6a9437</t>
  </si>
  <si>
    <t>237847</t>
  </si>
  <si>
    <t>БЛОКНОТ ПАЦАНА. Чёрный</t>
  </si>
  <si>
    <t>467-0-159-20972-0</t>
  </si>
  <si>
    <t>4670159209720</t>
  </si>
  <si>
    <t>1e645299c371d3a09089dc18d1f379f9</t>
  </si>
  <si>
    <t xml:space="preserve">СЕРИЯ: БЛОКНОТИК ДЛЯ СЕКРЕТИКОВ С ЗАМОЧКОМ на гребне 48л, глянц.ламин. 115х165 </t>
  </si>
  <si>
    <t>246432</t>
  </si>
  <si>
    <t>БЛОКНОТИК ДЛЯ СЕКРЕТИКОВ С ЗАМОЧКОМ. Бирюзовый</t>
  </si>
  <si>
    <t>467-0-159-24561-2</t>
  </si>
  <si>
    <t>Блокнотик для секретиков с замочком — это красивый и полезный подарок, который идеально подходит для записи девичьих мыслей, заметок и творчества. Он выполнен в ярком и привлекательном дизайне, компактен и удобен для ношения в рюкзачке или сумочке. Изготовленная из прочного материала обложка защищает страницы с розовой клеткой от повреждений. Надёжный замочек-сердечко позволяет девочке сохранять личные заметки и сердечные тайны в секрете от посторонних. Такой блокнотик станет отличным спутником и помощником юной леди!</t>
  </si>
  <si>
    <t>4670159245612</t>
  </si>
  <si>
    <t>24b63275c915f7513fe9c8b7b0f5f3bb</t>
  </si>
  <si>
    <t>150х175х15</t>
  </si>
  <si>
    <t>246433</t>
  </si>
  <si>
    <t>БЛОКНОТИК ДЛЯ СЕКРЕТИКОВ С ЗАМОЧКОМ. Голубой</t>
  </si>
  <si>
    <t>467-0-159-24564-3</t>
  </si>
  <si>
    <t>4670159245643</t>
  </si>
  <si>
    <t>de5ce3aa2915731dc3c6d45cf30eea68</t>
  </si>
  <si>
    <t>246434</t>
  </si>
  <si>
    <t>БЛОКНОТИК ДЛЯ СЕКРЕТИКОВ С ЗАМОЧКОМ. Жёлтый</t>
  </si>
  <si>
    <t>467-0-159-24562-9</t>
  </si>
  <si>
    <t>4670159245629</t>
  </si>
  <si>
    <t>1a1d7a34e7ea93bbaa47e022265c693b</t>
  </si>
  <si>
    <t>246435</t>
  </si>
  <si>
    <t>БЛОКНОТИК ДЛЯ СЕКРЕТИКОВ С ЗАМОЧКОМ. Розовый</t>
  </si>
  <si>
    <t>467-0-159-24563-6</t>
  </si>
  <si>
    <t>4670159245636</t>
  </si>
  <si>
    <t>90e067e876aeed10c170c87be9505bda</t>
  </si>
  <si>
    <t>СЕРИЯ: БЛОКНОТИК-АНКЕТА ДЛЯ ТЕБЯ И ДРУЗЕЙ с наклейками 32л, глянц.ламин. 155х200 (офсет 100гр)</t>
  </si>
  <si>
    <t>216541</t>
  </si>
  <si>
    <t>БЛОКНОТИК-АНКЕТА ДЛЯ ТЕБЯ И ДРУЗЕЙ с наклейками. ЗЕЛЁНАЯ</t>
  </si>
  <si>
    <t>467-0-159-10790-3</t>
  </si>
  <si>
    <t>В блокнотике-анкете можно записывать свои сокровенные мысли и тайны. Странички можно заполнять, как хочется: писать разными ручками, рисовать, украшать наклейками, которые идут в комплекте. Особенностью анкеты для друзей являются цитаты классиков о дружбе.</t>
  </si>
  <si>
    <t>4670159107903</t>
  </si>
  <si>
    <t>002a730e494e51bb1b8068b8ca2a2b6d</t>
  </si>
  <si>
    <t>216537</t>
  </si>
  <si>
    <t>БЛОКНОТИК-АНКЕТА ДЛЯ ТЕБЯ И ДРУЗЕЙ с наклейками. РОЗОВАЯ</t>
  </si>
  <si>
    <t>467-0-159-10789-7</t>
  </si>
  <si>
    <t>4670159107897</t>
  </si>
  <si>
    <t>90e593961f12fcd57e0843adc142261f</t>
  </si>
  <si>
    <t>216543</t>
  </si>
  <si>
    <t>БЛОКНОТИК-АНКЕТА ДЛЯ ТЕБЯ И ДРУЗЕЙ с наклейками. СИНЯЯ</t>
  </si>
  <si>
    <t>467-0-159-10791-0</t>
  </si>
  <si>
    <t>4670159107910</t>
  </si>
  <si>
    <t>6e815d795b7e58f1a390ec061ac0d9bf</t>
  </si>
  <si>
    <t>216546</t>
  </si>
  <si>
    <t>БЛОКНОТИК-АНКЕТА ДЛЯ ТЕБЯ И ДРУЗЕЙ с наклейками. ФИОЛЕТОВАЯ</t>
  </si>
  <si>
    <t>467-0-159-10792-7</t>
  </si>
  <si>
    <t>4670159107927</t>
  </si>
  <si>
    <t>a2cb4af35094cda5b3909e712181717a</t>
  </si>
  <si>
    <t>СЕРИЯ: МОДНЫЙ АЛЬБОМ 48л на гребне, выб.лак, кругл.углы 138х213 (офсет 120гр)</t>
  </si>
  <si>
    <t>217165</t>
  </si>
  <si>
    <t>МОДНЫЙ АЛЬБОМ на гребне</t>
  </si>
  <si>
    <t>467-0-159-10994-5</t>
  </si>
  <si>
    <t xml:space="preserve">Серия "Модный альбом" - это находка для девочек, девушек, женщин и всех, кто любит рисовать, создавать интересные образы и просто влюблен в моду. Для большего удобства брошюра на гребне, обложка из плотного картона, а листы в блоке из плотной бумаги. Комфортный формат позволит брать альбом с собой куда угодно. В блоке вы найдете 96 силуэтов фигур в точку, благодаря чему создавать дизайн одежды станет очень просто. Модный альбом станет прекрасным подарком на любой праздник. Помогите близким сделать первые шаги в дизайне прямо сейчас! </t>
  </si>
  <si>
    <t>4670159109945</t>
  </si>
  <si>
    <t>4043139c351cc06bcdab305e78781f6c</t>
  </si>
  <si>
    <t>145х213х10</t>
  </si>
  <si>
    <t>СЕРИЯ: ПАРНЫЕ БЛОКНОТЫ 2*48л в инд.упак. выб.лак, кругл.углы, КБС 140х200 (бумага 100гр)</t>
  </si>
  <si>
    <t>217160</t>
  </si>
  <si>
    <t>ПАРНЫЕ БЛОКНОТЫ. АНГЕЛ И ДЕМОН</t>
  </si>
  <si>
    <t>467-0-159-11086-6</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</si>
  <si>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«Ангел и демон» сделан в лучших традициях аниме. Сверхъестественные герои в современных образах. Ангел не такой уж ангельский, а демон не такой страшный. Раздели восторг от новых точкабуков с другом, ведь они отличный подарок для любителей азиатской темы и всего необычного. Если поставить блокноты рядом, можно увидеть единый фон за героями.</t>
  </si>
  <si>
    <t>4670159110866</t>
  </si>
  <si>
    <t>26.10.2023 0:00:00</t>
  </si>
  <si>
    <t>140х200х15</t>
  </si>
  <si>
    <t>217161</t>
  </si>
  <si>
    <t>ПАРНЫЕ БЛОКНОТЫ. ВЛЮБЛЁННАЯ ПАРОЧКА</t>
  </si>
  <si>
    <t>467-0-159-11087-3</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</si>
  <si>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«Влюбленная парочка» сразу привлечет взгляд истинного дорамщика, анимешника и всех ценителей прекрасного. Любовь ко всему анишному только крепнет, а герои, как будто сошедшие со страниц манги или манхвы будут прекрасным подарков для вашего друга, который в восторге от всей азиатской темы также, как и мы. Если поставить два блокнота рядом — девочка и мальчик показывают руками сердечко.</t>
  </si>
  <si>
    <t>4670159110873</t>
  </si>
  <si>
    <t>de522653718c7b1c2016d9790cc4ead0</t>
  </si>
  <si>
    <t>217162</t>
  </si>
  <si>
    <t>ПАРНЫЕ БЛОКНОТЫ. КРАСНАЯ НИТЬ СУДЬБЫ</t>
  </si>
  <si>
    <t>467-0-159-11088-0</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</si>
  <si>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«Красная нить судьбы», мы вдохновлялись прекрасной легендой, которая родилась в Азии — в нашем мире двух людей, которые созданы друг для друга, связывает красная нить судьбы. В конце-концов этим людям предначертано быть вместе, сколько бы километров их не разделяло. Красивая легенда и прекрасный подарок для вашей второй половины! Если поставить два блокнота рядом — на фоне за героями складывается сердечко: и красная нить судьбы переходит с обложки на обложку.</t>
  </si>
  <si>
    <t>4670159110880</t>
  </si>
  <si>
    <t>236470</t>
  </si>
  <si>
    <t>ПАРНЫЕ БЛОКНОТЫ. ПАРОЧКА ИЗ АНИМЕ</t>
  </si>
  <si>
    <t>467-0-159-20649-1</t>
  </si>
  <si>
    <t xml:space="preserve">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«Парочка из аниме», мы вдохновлялись романтичными пейзажами из аниме Хаяо Миядзаки. Если поставить два блокнота рядом — они образуют единую композицию, где двое возлюбленных идут навстречу друг другу. </t>
  </si>
  <si>
    <t>4670159206491</t>
  </si>
  <si>
    <t>Дневники</t>
  </si>
  <si>
    <t>СЕРИЯ: ДНЕВНИК БЕРЕМЕННОСТИ 56л выб.лак, кругл.углы 145х203</t>
  </si>
  <si>
    <t>209677</t>
  </si>
  <si>
    <t>ДНЕВНИК БЕРЕМЕННОСТИ. В ОЖИДАНИИ ЧУДА</t>
  </si>
  <si>
    <t>978-5-378-34371-3</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</si>
  <si>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</si>
  <si>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9785378343713</t>
  </si>
  <si>
    <t>209679</t>
  </si>
  <si>
    <t>ДНЕВНИК БЕРЕМЕННОСТИ. СТИЛЬНАЯ МАМА</t>
  </si>
  <si>
    <t>978-5-378-34370-6</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</si>
  <si>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</si>
  <si>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9785378343706</t>
  </si>
  <si>
    <t>СЕРИЯ: ДНЕВНИК ПЕРВОГО ГОДА ЖИЗНИ  тв.обл, выб.лак, офсет, кругл.углы 145х203</t>
  </si>
  <si>
    <t>221917</t>
  </si>
  <si>
    <t>ДНЕВНИК ПЕРВОГО ГОДА ЖИЗНИ. Лучший для мамы</t>
  </si>
  <si>
    <t>978-5-378-34613-4</t>
  </si>
  <si>
    <t>Кажется, ваш любимый малыш только начинал агукать, а вот он уже во всю щебечет да ещё и уверенно шагает навстречу приключениям. Время летит очень стремительно! Дневник первого года жизни поможет сохранить в памяти важные моменты из жизни любимого карапуза.
В дневнике приведены справочные данные, которые пригодятся молодой мамочке: календарь профилактических прививок, нормы сна и бодрствования. Так же в этой записной книжке можно вести планинг на каждый месяц малыша, отмечать важные моменты, вносить в словарик первые слова сыночка.
Каждый ребёнок — лучший для мамы!</t>
  </si>
  <si>
    <t>9785378346134</t>
  </si>
  <si>
    <t>aa5a1d8d70bb914313d7fc32751afe48</t>
  </si>
  <si>
    <t>6+</t>
  </si>
  <si>
    <t>СЕРИЯ: ДНЕВНИК ПЕРВЫХ ЛЕТ ЖИЗНИ МАЛЫША  тв.обл, выб.лак, офсет, кругл.углы 145х205</t>
  </si>
  <si>
    <t>192468</t>
  </si>
  <si>
    <t>ДНЕВНИК ПЕРВЫХ ЛЕТ ЖИЗНИ МАЛЫША. НАШ СЫНОЧЕК</t>
  </si>
  <si>
    <t>462-0-129-77635-6</t>
  </si>
  <si>
    <t>Первые полтора года жизни малыша — самый трепетный и нежный возраст, который хочется запомнить на всю жизнь. Именно поэтому в дневнике первых лет жизни малыша  предусмотрена справочная информация и страницы для записи важных событий роста и развития ребёнка.  Этот блокнот — прекрасная возможность сохранить тёплые воспоминания о первых успехах крохи.</t>
  </si>
  <si>
    <t>4620129776356</t>
  </si>
  <si>
    <t>42face4d3e3ca0e899068c16768ebefa</t>
  </si>
  <si>
    <t>145х205х11</t>
  </si>
  <si>
    <t>192473</t>
  </si>
  <si>
    <t>ДНЕВНИК ПЕРВЫХ ЛЕТ ЖИЗНИ МАЛЫША. НАША ДОЧЕНЬКА</t>
  </si>
  <si>
    <t>462-0-129-77634-9</t>
  </si>
  <si>
    <t>4620129776349</t>
  </si>
  <si>
    <t>Дневники Читательские</t>
  </si>
  <si>
    <t>СЕРИЯ: MyArt. ЧИТАТЕЛЬСКИЙ ДНЕВНИК  А5 выбор.лак 80л</t>
  </si>
  <si>
    <t>131580</t>
  </si>
  <si>
    <t>MyArt. ЛИТЕРАТУРНЫЙ ДНЕВНИК ДЛЯ ВЗРОСЛЫХ, которые любят читать</t>
  </si>
  <si>
    <t>463-0-097-51523-9</t>
  </si>
  <si>
    <t>Если вы любите читать...если вы не представляете себе жизнь без книг, то читательский дневник это musthave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</si>
  <si>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4630097515239</t>
  </si>
  <si>
    <t>131584</t>
  </si>
  <si>
    <t>MyArt. ЛИТЕРАТУРНЫЙ ДНЕВНИК для тех, кто любит читать и слушать книги А5 7БЦ</t>
  </si>
  <si>
    <t>463-0-097-51525-3</t>
  </si>
  <si>
    <t>Если вы любите читать...если вы не представляете себе жизнь без книг, то читательский дневник это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</si>
  <si>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4630097515253</t>
  </si>
  <si>
    <t>131579</t>
  </si>
  <si>
    <t>MyArt. ЧИТАТЕЛЬСКИЙ ДНЕВНИК ДЛЯ ВЗРОСЛЫХ, которые любят книги</t>
  </si>
  <si>
    <t>463-0-097-51522-2</t>
  </si>
  <si>
    <t>4630097515222</t>
  </si>
  <si>
    <t>СЕРИЯ: ЧИТАТЕЛЬСКИЙ ДНЕВНИК 24л. мелов.бум, глянц.ламин.обл, офсет 100гр. 166х240</t>
  </si>
  <si>
    <t>223822</t>
  </si>
  <si>
    <t>ЧИТАТЕЛЬСКИЙ ДНЕВНИК 166x240. СКАЗКА О МЁРТВОЙ ЦАРЕВНЕ И О СЕМИ БОГАТЫРЯХ</t>
  </si>
  <si>
    <t>467-0-159-14030-6</t>
  </si>
  <si>
    <t>Ваш ребенок много читает, но быстро забывает содержание и персонажей? Выход есть! В наших новых читательских дневниках с героями сказок А.С. Пушкина, отрисованных в стиле легендарного аниматора Хаяо Миядзаки, можно отмечать дату прочтения книги, записывать авторов, краткий сюжет, а также свои впечатления. А ещё в них есть страницы, чтобы выделить яркие цитаты, вписать строки самых проникновенных стихотворений, составить личные литературные рейтинги. Вести читательский дневник может быть не только полезно, но и интересно!</t>
  </si>
  <si>
    <t>4670159140306</t>
  </si>
  <si>
    <t>223821</t>
  </si>
  <si>
    <t>ЧИТАТЕЛЬСКИЙ ДНЕВНИК 166x240. СКАЗКА О РЫБАКЕ И РЫБКЕ</t>
  </si>
  <si>
    <t>467-0-159-14029-0</t>
  </si>
  <si>
    <t>4670159140290</t>
  </si>
  <si>
    <t>223820</t>
  </si>
  <si>
    <t>ЧИТАТЕЛЬСКИЙ ДНЕВНИК 166x240. СКАЗКА О ЦАРЕ САЛТАНЕ</t>
  </si>
  <si>
    <t>467-0-159-14028-3</t>
  </si>
  <si>
    <t>4670159140283</t>
  </si>
  <si>
    <t>223823</t>
  </si>
  <si>
    <t>ЧИТАТЕЛЬСКИЙ ДНЕВНИК 166x240. У ЛУКОМОРЬЯ ДУБ ЗЕЛЁНЫЙ</t>
  </si>
  <si>
    <t>467-0-159-14031-3</t>
  </si>
  <si>
    <t>4670159140313</t>
  </si>
  <si>
    <t>СЕРИЯ: ЧИТАТЕЛЬСКИЙ ДНЕВНИК 48л глянц.ламин КБС 160х195</t>
  </si>
  <si>
    <t>150067</t>
  </si>
  <si>
    <t>ЧИТАТЕЛЬСКИЙ ДНЕВНИК. ГОГОЛЬ</t>
  </si>
  <si>
    <t>468-0-088-44247-1</t>
  </si>
  <si>
    <t>Благодаря читательским дневникам каждая прочитанная книга запомнится надолго! Записывать свои мысли и эмоции, основные идеи книг, сюжеты, особенности героев - отличный способ сохранить воспоминания. А любимые писатели помогут вам в заполнении дневника!</t>
  </si>
  <si>
    <t>4680088442471</t>
  </si>
  <si>
    <t>160х195х7</t>
  </si>
  <si>
    <t>181480</t>
  </si>
  <si>
    <t>ЧИТАТЕЛЬСКИЙ ДНЕВНИК. ДОСТОЕВСКИЙ</t>
  </si>
  <si>
    <t>462-0-129-72053-3</t>
  </si>
  <si>
    <t>4620129720533</t>
  </si>
  <si>
    <t>181479</t>
  </si>
  <si>
    <t>ЧИТАТЕЛЬСКИЙ ДНЕВНИК. ТОЛСТОЙ</t>
  </si>
  <si>
    <t>462-0-129-72052-6</t>
  </si>
  <si>
    <t>4620129720526</t>
  </si>
  <si>
    <t>150068</t>
  </si>
  <si>
    <t>ЧИТАТЕЛЬСКИЙ ДНЕВНИК. ЧЕХОВ</t>
  </si>
  <si>
    <t>468-0-088-44249-5</t>
  </si>
  <si>
    <t>4680088442495</t>
  </si>
  <si>
    <t>150069</t>
  </si>
  <si>
    <t>ЧИТАТЕЛЬСКИЙ ДНЕВНИК. ШЕКСПИР</t>
  </si>
  <si>
    <t>468-0-088-44250-1</t>
  </si>
  <si>
    <t>4680088442501</t>
  </si>
  <si>
    <t>СЕРИЯ: ЧИТАТЕЛЬСКИЙ ДНЕВНИК ШКОЛЬНИКА глянц.ламин.обл.165х240</t>
  </si>
  <si>
    <t>156743</t>
  </si>
  <si>
    <t xml:space="preserve">ЧИТАТЕЛЬСКИЙ ДНЕВНИК 1-11 КЛАСС </t>
  </si>
  <si>
    <t>461-0-144-80060-0</t>
  </si>
  <si>
    <t>Это пособия, которые станут незаменимым помощником вашего ребёнка. Дневник поможет читателю анализировать художественные произведения, запомнить содержание, главных героев. Также на разворотах есть небольшие загадки про писателей и авторов.</t>
  </si>
  <si>
    <t>4610144800600</t>
  </si>
  <si>
    <t>166х240х4</t>
  </si>
  <si>
    <t>СЕРИЯ: ЧИТАТЕЛЬСКИЙ ДНЕВНИК эконом, мелов.обл. 140х200</t>
  </si>
  <si>
    <t>194590</t>
  </si>
  <si>
    <t>ЧИТАТЕЛЬСКИЙ ДНЕВНИК эконом. ДЛЯ ДЕВОЧЕК. ДЕВОЧКА В ПЛЕДЕ</t>
  </si>
  <si>
    <t>462-0-129-78263-0</t>
  </si>
  <si>
    <t>Наши читательские дневники — это палочки-выручалочки для учащихся младших классов. Анализируя сюжеты художественных произведений, юные читатели научатся не просто делать выводы,  но и излагать их на бумаге. А яркие, красочные обложки обязательно придутся по вкусу, как девчонкам, так и мальчишкам!</t>
  </si>
  <si>
    <t>4620129782630</t>
  </si>
  <si>
    <t>140х200х4</t>
  </si>
  <si>
    <t>194589</t>
  </si>
  <si>
    <t>ЧИТАТЕЛЬСКИЙ ДНЕВНИК эконом. ДЛЯ МАЛЬЧИКОВ. МАЛЬЧИК В ПАЛАТКЕ</t>
  </si>
  <si>
    <t>462-0-129-78261-6</t>
  </si>
  <si>
    <t>4620129782616</t>
  </si>
  <si>
    <t>Дневнички для Девочек</t>
  </si>
  <si>
    <t>СЕРИЯ: АНКЕТА ДЛЯ ДЕВОЧЕК  с замочком 32л глянц.ламин, кругл.углы 150х208 (офсет 100гр)</t>
  </si>
  <si>
    <t>220122</t>
  </si>
  <si>
    <t>АНКЕТА ДЛЯ ДЕВОЧЕК  с замочком. В БЕЛОЙ РУБАШКЕ</t>
  </si>
  <si>
    <t>467-0-159-12542-6</t>
  </si>
  <si>
    <t>Анкета для девочек поможет надежно сохранить память о себе в детстве, своих предпочтениях и увлечениях. А еще это самый простой инструмент, чтобы узнать больше о подружках и одноклассницах.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 и, конечно, опросники для 10 друзей. Благодаря маленькому замочку ни один секретик не просочится к завистникам и недоброжелателям!</t>
  </si>
  <si>
    <t>4670159125426</t>
  </si>
  <si>
    <t>5b085297da98b4f8c183b3ad6c4cf81d</t>
  </si>
  <si>
    <t>165х210х10</t>
  </si>
  <si>
    <t>220123</t>
  </si>
  <si>
    <t>АНКЕТА ДЛЯ ДЕВОЧЕК  с замочком. В ГОЛУБОМ ПЛАТЬЕ</t>
  </si>
  <si>
    <t>467-0-159-12543-3</t>
  </si>
  <si>
    <t>4670159125433</t>
  </si>
  <si>
    <t>6381b25d3592e7ca6500f34e591a966d</t>
  </si>
  <si>
    <t>220118</t>
  </si>
  <si>
    <t>АНКЕТА ДЛЯ ДЕВОЧЕК  с замочком. В ЖЁЛТОМ СВИТЕРЕ</t>
  </si>
  <si>
    <t>467-0-159-12540-2</t>
  </si>
  <si>
    <t>4670159125402</t>
  </si>
  <si>
    <t>378ec8b266829e6ba86cf81848215a7d</t>
  </si>
  <si>
    <t>220121</t>
  </si>
  <si>
    <t>АНКЕТА ДЛЯ ДЕВОЧЕК  с замочком. В СИНЕЙ ВОДОЛАЗКЕ</t>
  </si>
  <si>
    <t>467-0-159-12541-9</t>
  </si>
  <si>
    <t>4670159125419</t>
  </si>
  <si>
    <t>a7c026c2d26a0b9e6b62b318f3da2b29</t>
  </si>
  <si>
    <t>СЕРИЯ: ДНЕВНИЧОК - Точкабук 128л мат.ламин, выбор.лак, офсет 70 гр, 150х204</t>
  </si>
  <si>
    <t>219297</t>
  </si>
  <si>
    <t>ДНЕВНИЧОК 150х204. ДНЕВНИЧОК ДЛЯ ЛУЧШИХ ПОДРУГ</t>
  </si>
  <si>
    <t>467-0-159-10603-6</t>
  </si>
  <si>
    <t>Наш дневничок - это прекрасный подарок для девочки! Твердая и яркая обложка сразу привлечёт внимание. Интересное оформление каждой странички, комфортный формат, интересные задания внутри не оставят равнодушным ни одного ребенка.
В каждом дневничке есть анкеты, которые сможет заполнить хозяйка и ее друзья. Множество интересных вопросов, которые помогут ребятам узнать друг друга лучше. Кроме того, мы добавили тесты, игры-челленджи, несколько рецептов, полезные советы в разных областях, творческие задания и много всего другого. 256 страниц дневничка точно не дадут заскучать, порадуйте своего ребёнка прекрасным подарком!</t>
  </si>
  <si>
    <t>4670159106036</t>
  </si>
  <si>
    <t>43c3e043f32d26a88ae1d6edbd77348a</t>
  </si>
  <si>
    <t>150х204х17</t>
  </si>
  <si>
    <t>СЕРИЯ: ДНЕВНИЧОК ДЛЯ ДЕВОЧЕК КБС глянц.ламин, офсет, 140х195</t>
  </si>
  <si>
    <t>202898</t>
  </si>
  <si>
    <t>ДНЕВНИЧОК ДЛЯ ДЕВОЧЕК 140х195. МОЙ КРУТОЙ ДНЕВНИЧОК</t>
  </si>
  <si>
    <t>467-0-159-03459-9</t>
  </si>
  <si>
    <t>Новые дневнички для самых прикольных, милых, крутых и суперских девчонок! Яркие стильные обложки и красочное оформление привлекают внимание и заряжают позитивом. Блокнотики отличаются друг от друга не только снаружи, но и внутри, так что каждая девочка сможет найти именно свой дневничок.</t>
  </si>
  <si>
    <t>4670159034599</t>
  </si>
  <si>
    <t>c7f33e6ace1be5995f9f84f93149ea38</t>
  </si>
  <si>
    <t>140х195х6</t>
  </si>
  <si>
    <t>202899</t>
  </si>
  <si>
    <t>ДНЕВНИЧОК ДЛЯ ДЕВОЧЕК 140х195. МОЙ ПРИКОЛЬНЫЙ ДНЕВНИЧОК</t>
  </si>
  <si>
    <t>467-0-159-03460-5</t>
  </si>
  <si>
    <t xml:space="preserve">4670159034605 </t>
  </si>
  <si>
    <t>20ea46ae26c56b8d015ace3da8b2e23c</t>
  </si>
  <si>
    <t>202900</t>
  </si>
  <si>
    <t>ДНЕВНИЧОК ДЛЯ ДЕВОЧЕК 140х195. МОЙ СУПЕРСКИЙ ДНЕВНИЧОК</t>
  </si>
  <si>
    <t>467-0-159-03461-2</t>
  </si>
  <si>
    <t>4670159034612</t>
  </si>
  <si>
    <t>a3e59c6e1f35bb156b5726dfc63c6b67</t>
  </si>
  <si>
    <t>СЕРИЯ: ДНЕВНИЧОК ДЛЯ ДЕВОЧЕК с наклейками 7БЦ выб.лак, офсет, 170х216</t>
  </si>
  <si>
    <t>188562</t>
  </si>
  <si>
    <t>ДНЕВНИЧОК. ТОЛЬКО ДЛЯ ДЕВОЧЕК с наклейками</t>
  </si>
  <si>
    <t>978-5-378-33807-8</t>
  </si>
  <si>
    <t>В дневничке девчонки найдут тесты, опросники, анкеты и несколько идей того, как развлечься с подругами. Секретный дневничок поместится практически в любую сумочку и не займёт много места. А это значит, что маленьким подружкам точно не придётся скучать!</t>
  </si>
  <si>
    <t>9785378338078</t>
  </si>
  <si>
    <t>170х217х7</t>
  </si>
  <si>
    <t>СЕРИЯ: ДНЕВНИЧОК ДЛЯ ДЕВОЧКИ тв.обл. глянц.ламин, офсет, 220х220</t>
  </si>
  <si>
    <t>040836</t>
  </si>
  <si>
    <t>ДНЕВНИЧОК. НЕШКОЛЬНЫЙ ДНЕВНИЧОК ОБО МНЕ И МОИХ ДРУЗЬЯХ</t>
  </si>
  <si>
    <t>978-5-378-25779-9</t>
  </si>
  <si>
    <t>Красочные дневнички в твёрдой обложке не только надолго сохранят яркие события,но и помогут развить творческие навыки! Маленькие красавицы вклеят фотографии незабываемых моментов, запишут волшебные сны,сокровенные мечты и даже придумают собственный макияж и маникюр! На страницах с коллажами можно рисовать и клеить наклейки! Друзья обязательно захотят запомнить интересную анкету! Дневнички созданы специально для стильных и продвинутых девчонок!</t>
  </si>
  <si>
    <t>9785378257799</t>
  </si>
  <si>
    <t>03.03.2017 0:00:00</t>
  </si>
  <si>
    <t>Дневничок для девочки</t>
  </si>
  <si>
    <t>220х220х8</t>
  </si>
  <si>
    <t>040834</t>
  </si>
  <si>
    <t>ДНЕВНИЧОК. СЕКРЕТНЫЙ ДНЕВНИЧОК. ВСЁ ОБО МНЕ И МОИХ ДРУЗЬЯХ</t>
  </si>
  <si>
    <t>978-5-378-25780-5</t>
  </si>
  <si>
    <t>9785378257805</t>
  </si>
  <si>
    <t>105f666530c97d7fc67e1e1070e3cdf1</t>
  </si>
  <si>
    <t>054831</t>
  </si>
  <si>
    <t>ДНЕВНИЧОК. ТАЙНЫЙ ДНЕВНИЧОК</t>
  </si>
  <si>
    <t>978-5-378-26981-5</t>
  </si>
  <si>
    <t>9785378269815</t>
  </si>
  <si>
    <t>0422d124e6242b616fd18948b7fc20a6</t>
  </si>
  <si>
    <t>19.10.2016 0:00:00</t>
  </si>
  <si>
    <t>054832</t>
  </si>
  <si>
    <t>МОЙ ЧУДЕСНЫЙ ДНЕВНИЧОК ДЛЯ ДРУЗЕЙ</t>
  </si>
  <si>
    <t>978-5-378-26979-2</t>
  </si>
  <si>
    <t>9785378269792</t>
  </si>
  <si>
    <t>45ff87bd503d71d457a732539d6a6d03</t>
  </si>
  <si>
    <t>СЕРИЯ: ДНЕВНИЧОК с резинкой 7БЦ глянц.ламин. офсет 145х203</t>
  </si>
  <si>
    <t>201362</t>
  </si>
  <si>
    <t>ДНЕВНИЧОК МОИХ СЕКРЕТОВ</t>
  </si>
  <si>
    <t>467-0-159-02472-9</t>
  </si>
  <si>
    <t>Дневнички для девочек помогут интересно провести время: можно рассказать о себе, своих друзьях и увлечениях, пофантазировать, доверить дневничку свои сокровенные мысли, планы, тайны и мечты. Каждая девочка найдёт в серии дневничок на свой вкус. Выбери тот, который подойдёт именно тебе!</t>
  </si>
  <si>
    <t>4670159024729</t>
  </si>
  <si>
    <t>cb47b653360d354a2a52409092d1bd98</t>
  </si>
  <si>
    <t>145х203х7</t>
  </si>
  <si>
    <t>201363</t>
  </si>
  <si>
    <t>МОЙ ЛИЧНЫЙ ДНЕВНИК</t>
  </si>
  <si>
    <t>467-0-159-02473-6</t>
  </si>
  <si>
    <t>4670159024736</t>
  </si>
  <si>
    <t>5015c350dd7118a53b2740b93545253b</t>
  </si>
  <si>
    <t>СЕРИЯ: ДНЕВНИЧОК СЕКРЕТОВ глянц.ламин, офсет, 145х203</t>
  </si>
  <si>
    <t>249504</t>
  </si>
  <si>
    <t>ДНЕВНИЧОК СЕКРЕТОВ. ДЕВОЧКА ПОДМИГИВАЕТ</t>
  </si>
  <si>
    <t>467-0-159-25646-5</t>
  </si>
  <si>
    <t>Дневничок секретов поможет надежно сохранить память о себе в подростковом возрасте, своих предпочтениях и увлечениях.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t>
  </si>
  <si>
    <t>4670159256465</t>
  </si>
  <si>
    <t>6947b6e89e5b8c5df7816ff87b3bb7b0</t>
  </si>
  <si>
    <t>145x203x7</t>
  </si>
  <si>
    <t>249503</t>
  </si>
  <si>
    <t>ДНЕВНИЧОК СЕКРЕТОВ. ДЕВОЧКА С ГОЛУБЫМИ ХВОСТИКАМИ</t>
  </si>
  <si>
    <t>467-0-159-25645-8</t>
  </si>
  <si>
    <t>4670159256458</t>
  </si>
  <si>
    <t>b38c9dc973e7667b83d24389364d7e1e</t>
  </si>
  <si>
    <t>249505</t>
  </si>
  <si>
    <t>ДНЕВНИЧОК СЕКРЕТОВ. ДЕВОЧКА С СИНИМИ ВОЛОСАМИ</t>
  </si>
  <si>
    <t>467-0-159-25647-2</t>
  </si>
  <si>
    <t>4670159256472</t>
  </si>
  <si>
    <t>670cfac4ea9689d90c3dcaadff457df0</t>
  </si>
  <si>
    <t>СЕРИЯ: ЗАПИСНАЯ КНИЖКА ДЛЯ ДЕВОЧЕК мат.ламин, выб.лак, кругл.углы 130х200 (бум 80)</t>
  </si>
  <si>
    <t>222965</t>
  </si>
  <si>
    <t>ЗАПИСНАЯ КНИЖКА ДЛЯ ДЕВОЧЕК. Голубая</t>
  </si>
  <si>
    <t>467-0-159-13064-2</t>
  </si>
  <si>
    <t>В небольшой книжке, которая не займет много места в школьном рюкзаке или сумочке, представлены плашки для паролей, разделы для личных рейтингов, раскраски и, конечно, страницы для записи текущих мыслей и планов современной девчонки.</t>
  </si>
  <si>
    <t>4670159130642</t>
  </si>
  <si>
    <t>4343413e311ba7dd951df05a31fe84ab</t>
  </si>
  <si>
    <t>130x200x6</t>
  </si>
  <si>
    <t>222967</t>
  </si>
  <si>
    <t>ЗАПИСНАЯ КНИЖКА ДЛЯ ДЕВОЧЕК. Жёлтая</t>
  </si>
  <si>
    <t>467-0-159-13066-6</t>
  </si>
  <si>
    <t>4670159130666</t>
  </si>
  <si>
    <t>4bfd642aa64858b19299433b567cfcee</t>
  </si>
  <si>
    <t>222966</t>
  </si>
  <si>
    <t>ЗАПИСНАЯ КНИЖКА ДЛЯ ДЕВОЧЕК. Розовая</t>
  </si>
  <si>
    <t>467-0-159-13065-9</t>
  </si>
  <si>
    <t>4670159130659</t>
  </si>
  <si>
    <t>8b588bda440d14a1d7f1d5061c44e4a1</t>
  </si>
  <si>
    <t>222968</t>
  </si>
  <si>
    <t>ЗАПИСНАЯ КНИЖКА ДЛЯ ДЕВОЧЕК. Сиреневая</t>
  </si>
  <si>
    <t>467-0-159-13067-3</t>
  </si>
  <si>
    <t>4670159130673</t>
  </si>
  <si>
    <t>fad6cf09483754b7a580a6d72a1e9ef9</t>
  </si>
  <si>
    <t>СЕРИЯ: КНИГА МОИХ СЕКРЕТОВ глянц.ламин,пухл. кругл.углы 130х190</t>
  </si>
  <si>
    <t>248071</t>
  </si>
  <si>
    <t>КНИГА МОИХ СЕКРЕТОВ (Голубая)</t>
  </si>
  <si>
    <t>467-0-159-24923-8</t>
  </si>
  <si>
    <t>«Книга моих секретов» - это серия дневничков для девочек с четырьмя яркими обложками и единым блоком. Обложки со скруглёнными углами выполнены с добавление поролона, что придаёт им толщину и мягкость. В блоке 96 страниц с яркими принтами и различными тематическими разделами, чтобы помочь девочкам систематизировать свои мысли, а так же разлинованные страницы для самостоятельного заполнения. Новая серия дневников для девочек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t>
  </si>
  <si>
    <t>4670159249238</t>
  </si>
  <si>
    <t>02aa907f3138e9bf4f7cc0cb3adcbe32</t>
  </si>
  <si>
    <t>248067</t>
  </si>
  <si>
    <t>КНИГА МОИХ СЕКРЕТОВ (Жёлтая)</t>
  </si>
  <si>
    <t>467-0-159-24920-7</t>
  </si>
  <si>
    <t>4670159249207</t>
  </si>
  <si>
    <t>fe751c51aa37ac2364935d7a6a79c16b</t>
  </si>
  <si>
    <t>248070</t>
  </si>
  <si>
    <t>КНИГА МОИХ СЕКРЕТОВ (Розовая)</t>
  </si>
  <si>
    <t>467-0-159-24922-1</t>
  </si>
  <si>
    <t>4670159249221</t>
  </si>
  <si>
    <t>4955b7ac0c14518189eb0f70170c0afe</t>
  </si>
  <si>
    <t>248068</t>
  </si>
  <si>
    <t>КНИГА МОИХ СЕКРЕТОВ (Сиреневая)</t>
  </si>
  <si>
    <t>467-0-159-24921-4</t>
  </si>
  <si>
    <t>4670159249214</t>
  </si>
  <si>
    <t>e3abae2ad5af6a06a12c4e2465f5f8f3</t>
  </si>
  <si>
    <t>СЕРИЯ: ЛИЧНЫЙ ДНЕВНИК ДЛЯ ДЕВОЧЕК - Точкабук 32л глянц.ламин, тиснение, 7БЦ 145х204 (офсет 80гр)</t>
  </si>
  <si>
    <t>236544</t>
  </si>
  <si>
    <t>ЛИЧНЫЙ ДНЕВНИК ДЛЯ ДЕВОЧЕК. ДНЕВНИК МОИХ ТАЙН</t>
  </si>
  <si>
    <t>467-0-159-18936-7</t>
  </si>
  <si>
    <t>Личный дневник – это идеальный подарок для каждой девочки, которая хочет сохранить воспоминания о самых ярких моментах своего детства! В этом красочном издании каждая девочка найдёт пространство для своих мыслей, желаний и маленьких секретов. Дневничок поможет развить воображение и раскрыть творческий потенциал, а также больше узнать о себе благодаря интересным тестам. С помощью анкетного формата и забавных заданий, каждая девочка сможет создать уникальный альбом воспоминаний о своём детстве, а также написать письмо в будущее самой себе. А необычное голографическое тиснение, украшающее каждую из обложек, не оставит равнодушным никого.</t>
  </si>
  <si>
    <t>4670159189367</t>
  </si>
  <si>
    <t>33a365fbd7e7fb400359ab8f0c07239b</t>
  </si>
  <si>
    <t>ламинация+тиснение</t>
  </si>
  <si>
    <t>145х204х6</t>
  </si>
  <si>
    <t>236547</t>
  </si>
  <si>
    <t>ЛИЧНЫЙ ДНЕВНИК ДЛЯ ДЕВОЧЕК. МОЙ ЛЮБИМЫЙ ДНЕВНИЧОК</t>
  </si>
  <si>
    <t>467-0-159-18938-1</t>
  </si>
  <si>
    <t>4670159189381</t>
  </si>
  <si>
    <t>d457839faa12f6be243f4b2a902209b7</t>
  </si>
  <si>
    <t>236543</t>
  </si>
  <si>
    <t>ЛИЧНЫЙ ДНЕВНИК ДЛЯ ДЕВОЧЕК. СЕКРЕТНЫЙ ДНЕВНИЧОК</t>
  </si>
  <si>
    <t>467-0-159-18935-0</t>
  </si>
  <si>
    <t>4670159189350</t>
  </si>
  <si>
    <t>302fe04920485da542aca559d4c0d210</t>
  </si>
  <si>
    <t>СЕРИЯ: МОЙ ЛИЧНЫЙ ДНЕВНИЧОК с замочком, глянц.ламин, кругл.углы, офсет, 130х190</t>
  </si>
  <si>
    <t>218641</t>
  </si>
  <si>
    <t>МОЙ ЛИЧНЫЙ ДНЕВНИЧОК с замочком. ГОЛУБОЙ</t>
  </si>
  <si>
    <t>467-0-159-11849-7</t>
  </si>
  <si>
    <t>Новая серия дневников для девочек с замочком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 Это друг, который сохранит всё в тайне, ведь на каждом дневнике есть замочек, а так же 2 ключика.
В дневниках есть и тематические разделы, чтобы помочь девочкам систематизировать свои мысли, а так же разлинованные страницы для самостоятельного планирования, что поможет  проявить свою творческую сторону.
Новая серия дневников доступна в четырёх вариантах с яркими плотными обложками со скруглёнными углами и блоками из 48 страниц с лаконичным и стильным дизайном, выполненном в одном нежном оттенке: жёлтом, голубом, сиреневом и зелёном. Это позволяет каждой девочке выбрать дневник, который соответствует её индивидуальности и предпочтениям. Формат 130х190 мм делает дневник удобным в использовании и лёгким для ношения с собой, а индивидуальная упаковка сбережёт дневник при доставке и хранении.</t>
  </si>
  <si>
    <t>4670159118497</t>
  </si>
  <si>
    <t>6b4d053f3932bf805dfed2943d029720</t>
  </si>
  <si>
    <t>130х190х10</t>
  </si>
  <si>
    <t>218640</t>
  </si>
  <si>
    <t>МОЙ ЛИЧНЫЙ ДНЕВНИЧОК с замочком. ЖЁЛТЫЙ</t>
  </si>
  <si>
    <t>467-0-159-11848-0</t>
  </si>
  <si>
    <t>4670159118480</t>
  </si>
  <si>
    <t>a603b231594891f9c5b6c91644ba0e43</t>
  </si>
  <si>
    <t>218643</t>
  </si>
  <si>
    <t>МОЙ ЛИЧНЫЙ ДНЕВНИЧОК с замочком. ЗЕЛЁНЫЙ</t>
  </si>
  <si>
    <t>467-0-159-11851-0</t>
  </si>
  <si>
    <t>4670159118510</t>
  </si>
  <si>
    <t>62714ce29916ec1d4bfdb0e439bd20cc</t>
  </si>
  <si>
    <t>СЕРИЯ: МОЙ ЛУЧШИЙ ДНЕВНИЧОК на спирали с пластик.обл. 36л, офсет 100, 128х215</t>
  </si>
  <si>
    <t>211312</t>
  </si>
  <si>
    <t>ДНЕВНИЧОК на спирали. ДНЕВНИЧОК САМОЙ КЛАССНОЙ ДЕВОЧКИ</t>
  </si>
  <si>
    <t xml:space="preserve">467-0-159-05212-8 </t>
  </si>
  <si>
    <t>Привет! Я - твой личный карманный дневничок! Ты можешь поделиться со мной своими мыслями, мечтами, воспоминаниями и планами, а я сохраню их в секрете!</t>
  </si>
  <si>
    <t>4670159052128</t>
  </si>
  <si>
    <t>135х215х10</t>
  </si>
  <si>
    <t>211313</t>
  </si>
  <si>
    <t>ДНЕВНИЧОК на спирали. ДНЕВНИЧОК САМОЙ ЛУЧШЕЙ ДЕВОЧКИ</t>
  </si>
  <si>
    <t xml:space="preserve">467-0-159-05213-5 </t>
  </si>
  <si>
    <t>4670159052135</t>
  </si>
  <si>
    <t>211311</t>
  </si>
  <si>
    <t>ДНЕВНИЧОК на спирали. ДНЕВНИЧОК САМОЙ ЛЮБИМОЙ ДЕВОЧКИ</t>
  </si>
  <si>
    <t xml:space="preserve">467-0-159-05211-1 </t>
  </si>
  <si>
    <t>4670159052111</t>
  </si>
  <si>
    <t>211314</t>
  </si>
  <si>
    <t>ДНЕВНИЧОК на спирали. ДНЕВНИЧОК САМОЙ МИЛОЙ ДЕВОЧКИ</t>
  </si>
  <si>
    <t xml:space="preserve">467-0-159-05214-2 </t>
  </si>
  <si>
    <t>4670159052142</t>
  </si>
  <si>
    <t>211310</t>
  </si>
  <si>
    <t>ДНЕВНИЧОК на спирали. ДНЕВНИЧОК САМОЙ ТАЛАНТЛИВОЙ ДЕВОЧКИ</t>
  </si>
  <si>
    <t xml:space="preserve">467-0-159-05210-4 </t>
  </si>
  <si>
    <t>4670159052104</t>
  </si>
  <si>
    <t>Книги для записи кулинарных рецептов</t>
  </si>
  <si>
    <t>СЕРИЯ: MyArt. КНИГА ДЛЯ ЗАПИСИ КУЛИНАРНЫХ РЕЦЕПТОВ 7БЦ 80л выбор.лак, кругл.углы 145х202</t>
  </si>
  <si>
    <t>201345</t>
  </si>
  <si>
    <t>MyArt. КНИГА ДЛЯ ЗАПИСИ РЕЦЕПТОВ ТОРТИКОВ</t>
  </si>
  <si>
    <t>467-0-159-02384-5</t>
  </si>
  <si>
    <t xml:space="preserve">Любишь печь тортики, пирожные и печенья? Тогда специально для тебя наша новая книга для записи рецептов десертов. Не надейся на память – фиксируй кулинарные фишки! Тебе в помощь таблица мер и весов, а еще несколько «сладких» фактов для кругозора и настроения! </t>
  </si>
  <si>
    <t>4670159023845</t>
  </si>
  <si>
    <t>233222</t>
  </si>
  <si>
    <t>MyArt. КНИГА ДЛЯ ЗАПИСИ ТРЕНДОВЫХ РЕЦЕПТОВ</t>
  </si>
  <si>
    <t>467-0-159-18883-4</t>
  </si>
  <si>
    <t>Книга для записи трендовых рецептов — отличный помощник для тех, кто любит готовить и собирать любимые рецепты. Стильное лаконичное оформление с любимыми персонажами, удобный формат, функциональная сетка для записи рецептов, таблица мер и весов – всё это сделает покупку очень приятной!</t>
  </si>
  <si>
    <t>4670159188834</t>
  </si>
  <si>
    <t>1398db0b5d067a943c0f4a8af73a2acb</t>
  </si>
  <si>
    <t>07.08.2024 0:00:00</t>
  </si>
  <si>
    <t>145x202x9</t>
  </si>
  <si>
    <t>167050</t>
  </si>
  <si>
    <t>MyArt. КУЛИНАРНАЯ КНИГА (красная)</t>
  </si>
  <si>
    <t>461-0-144-84786-5</t>
  </si>
  <si>
    <t>Книга для записи кулинарных рецептов будет отличным помощником для тех, кто любит готовить и собирать любимые рецепты. Стильное лаконичное оформление, удобный формат, функциональная сетка для записи рецептов, таблица мер и весов – всё это сделает покупку очень приятной!</t>
  </si>
  <si>
    <t>4610144847865</t>
  </si>
  <si>
    <t>167051</t>
  </si>
  <si>
    <t>MyArt. КУЛИНАРНАЯ КНИГА (овощи)</t>
  </si>
  <si>
    <t>461-0-144-84787-2</t>
  </si>
  <si>
    <t>4610144847872</t>
  </si>
  <si>
    <t>СЕРИЯ: MyArt. КНИГА ДЛЯ ЗАПИСИ КУЛИНАРНЫХ РЕЦЕПТОВ на гребне 64л, выбор. лак, круг.углы 175х223</t>
  </si>
  <si>
    <t>167027</t>
  </si>
  <si>
    <t>MyArt. КНИГА ДЛЯ ЗАПИСИ КУЛИНАРНЫХ РЕЦЕПТОВ-1 (элемент)</t>
  </si>
  <si>
    <t>461-0-144-84785-8</t>
  </si>
  <si>
    <t>Книга для записи кулинарных рецептов будет отличным помощником для тех, кто любит готовить и собирать любимые рецепты. Красочное оформление обложек, удобный формат на гребне, функциональная сетка для записей, таблица мер и весов - всё это сделает покупку очень приятной!</t>
  </si>
  <si>
    <t>4610144847858</t>
  </si>
  <si>
    <t>175х232х17</t>
  </si>
  <si>
    <t>СЕРИЯ: КНИГА ДЛЯ ЗАПИСИ КУЛИНАРНЫХ РЕЦЕПТОВ 80л глянц.ламин, кругл.углы 7БЦ 145х203</t>
  </si>
  <si>
    <t>230552</t>
  </si>
  <si>
    <t>КНИГА ДЛЯ ЗАПИСИ КУЛИНАРНЫХ РЕЦЕПТОВ (Светлая)</t>
  </si>
  <si>
    <t>467-0-159-17417-2</t>
  </si>
  <si>
    <t>4670159174172</t>
  </si>
  <si>
    <t>47fae198b53642e362007ffaad2ab622</t>
  </si>
  <si>
    <t>08.10.2024 0:00:00</t>
  </si>
  <si>
    <t>144х203х10</t>
  </si>
  <si>
    <t>230554</t>
  </si>
  <si>
    <t>КНИГА ДЛЯ ЗАПИСИ КУЛИНАРНЫХ РЕЦЕПТОВ (Тёмная)</t>
  </si>
  <si>
    <t>467-0-159-17418-9</t>
  </si>
  <si>
    <t>4670159174189</t>
  </si>
  <si>
    <t>94600f90f99a9ba1d4a238359ef680c0</t>
  </si>
  <si>
    <t>Медицинские карты. История развития ребёнка форма 112/у</t>
  </si>
  <si>
    <t>СЕРИЯ: АМБУЛАТОРНАЯ КАРТА взрослого 7БЦ 144л, мат.ламин, кругл.углы, офсет 218х153</t>
  </si>
  <si>
    <t>221351</t>
  </si>
  <si>
    <t>АМБУЛАТОРНАЯ КАРТА взрослого. БИРЮЗОВАЯ</t>
  </si>
  <si>
    <t>467-0-159-13069-7</t>
  </si>
  <si>
    <t>Медицинская карта пациента, получающего медицинскую помощь в амбулаторных условиях, необходима каждому человеку и используется в поликлиниках в обязательном порядке. Наша карта составлена по форме № 025/у, утверждённой Минздравом России и содержит разделы для сведений о диагнозах, назначениях и многом другом, а также большое количество дополнительных страниц для записи всех данных о вашем здоровье.  Благодаря твёрдой обложке карта прослужит долгие годы.</t>
  </si>
  <si>
    <t>4670159130697</t>
  </si>
  <si>
    <t>213х153х16</t>
  </si>
  <si>
    <t>238483</t>
  </si>
  <si>
    <t>АМБУЛАТОРНАЯ КАРТА взрослого. Красный корешок</t>
  </si>
  <si>
    <t>467-0-159-21671-1</t>
  </si>
  <si>
    <t>4670159216711</t>
  </si>
  <si>
    <t>d426c0e1825ab53b3e5fb9b52b4da0cf</t>
  </si>
  <si>
    <t>221353</t>
  </si>
  <si>
    <t>АМБУЛАТОРНАЯ КАРТА взрослого. СИНЯЯ</t>
  </si>
  <si>
    <t>467-0-159-13070-3</t>
  </si>
  <si>
    <t>4670159130703</t>
  </si>
  <si>
    <t>238484</t>
  </si>
  <si>
    <t>АМБУЛАТОРНАЯ КАРТА взрослого. Сиреневый корешок</t>
  </si>
  <si>
    <t>467-0-159-21672-8</t>
  </si>
  <si>
    <t>4670159216728</t>
  </si>
  <si>
    <t>e4131c87155bea9f1b2796f3e0c8597d</t>
  </si>
  <si>
    <t>СЕРИЯ: ДНЕВНИК ЗДОРОВЬЯ на скрепке 32л, глянц.ламин, офсет 140х200</t>
  </si>
  <si>
    <t>261530</t>
  </si>
  <si>
    <t>ДНЕВНИК ЗДОРОВЬЯ. Дневник для контроля сахара и ХЕ</t>
  </si>
  <si>
    <t>467-0-159-27790-3</t>
  </si>
  <si>
    <t>Серия "Дневник здоровья" поможет сохранить здоровье и следить за самочувствием. Блокноты разработаны с учётом особенностей организма: в серии представлены дневник давления и дневник контроля уровня сахара. Компактный размер, мягкий переплёт и большое количество страниц - особенности издания, благодаря которым дневник можно носить с собой и заполнять в любое удобное время.</t>
  </si>
  <si>
    <t>4670159277903</t>
  </si>
  <si>
    <t>1e1262840f436e8b22d1115ced7a29ba</t>
  </si>
  <si>
    <t>261532</t>
  </si>
  <si>
    <t>ДНЕВНИК ЗДОРОВЬЯ. Дневник здоровья</t>
  </si>
  <si>
    <t>467-0-159-27791-0</t>
  </si>
  <si>
    <t>4670159277910</t>
  </si>
  <si>
    <t>a11f5ee5bb221bbe30bc8c6a7441a8af</t>
  </si>
  <si>
    <t>258352</t>
  </si>
  <si>
    <t>ДНЕВНИК ЗДОРОВЬЯ. Дневник самоконтроля давления</t>
  </si>
  <si>
    <t>467-0-159-27789-7</t>
  </si>
  <si>
    <t>4670159277897</t>
  </si>
  <si>
    <t>aef0ffa2a20f4ce75a79d72fd33893aa</t>
  </si>
  <si>
    <t>258354</t>
  </si>
  <si>
    <t>ДНЕВНИК ЗДОРОВЬЯ. Дневник самоконтроля давления, сахара и ХЕ</t>
  </si>
  <si>
    <t>467-0-159-27792-7</t>
  </si>
  <si>
    <t>4670159277927</t>
  </si>
  <si>
    <t>d24c9803ace7f8dce88c760d6354f148</t>
  </si>
  <si>
    <t>СЕРИЯ: МЕДИЦИНСКАЯ КАРТА на скрепке 16л, глянц.ламин, офсет 200х284</t>
  </si>
  <si>
    <t>220100</t>
  </si>
  <si>
    <t>МЕДИЦИНСКАЯ КАРТА на скрепке. ГОЛУБАЯ</t>
  </si>
  <si>
    <t>467-0-159-12173-2</t>
  </si>
  <si>
    <t>Медицинская карта ребёнка составлена в соответствии с утверждённой формой № 026/у-2000 и предназначена для использования в образовательных учреждениях: детских садах и школах. Обложка карты выполнена из плотного целлюлозного картона с глянцевой ламинацией, благодаря чему карта сохранит аккуратный вид в течение долгого времени.</t>
  </si>
  <si>
    <t>4670159121732</t>
  </si>
  <si>
    <t>200х285х2</t>
  </si>
  <si>
    <t>240126</t>
  </si>
  <si>
    <t>МЕДИЦИНСКАЯ КАРТА на скрепке. ЖЁЛТАЯ</t>
  </si>
  <si>
    <t>467-0-159-21851-7</t>
  </si>
  <si>
    <t>4670159218517</t>
  </si>
  <si>
    <t>a41783323391c14e9c70d592a767654c</t>
  </si>
  <si>
    <t>240123</t>
  </si>
  <si>
    <t>МЕДИЦИНСКАЯ КАРТА на скрепке. КОРГИ (РОЗОВАЯ)</t>
  </si>
  <si>
    <t>467-0-159-21849-4</t>
  </si>
  <si>
    <t>4670159218494</t>
  </si>
  <si>
    <t>268388bd975f22b2deec0a642cfea7e4</t>
  </si>
  <si>
    <t>220098</t>
  </si>
  <si>
    <t>МЕДИЦИНСКАЯ КАРТА на скрепке. МЯТНАЯ</t>
  </si>
  <si>
    <t>467-0-159-12171-8</t>
  </si>
  <si>
    <t>4670159121718</t>
  </si>
  <si>
    <t>220097</t>
  </si>
  <si>
    <t>МЕДИЦИНСКАЯ КАРТА на скрепке. ОРАНЖЕВАЯ</t>
  </si>
  <si>
    <t>467-0-159-12170-1</t>
  </si>
  <si>
    <t>4670159121701</t>
  </si>
  <si>
    <t>220099</t>
  </si>
  <si>
    <t>МЕДИЦИНСКАЯ КАРТА на скрепке. РОЗОВАЯ</t>
  </si>
  <si>
    <t>467-0-159-12172-5</t>
  </si>
  <si>
    <t>4670159121725</t>
  </si>
  <si>
    <t>240120</t>
  </si>
  <si>
    <t>МЕДИЦИНСКАЯ КАРТА на скрепке. ФИОЛЕТОВАЯ</t>
  </si>
  <si>
    <t>467-0-159-21848-7</t>
  </si>
  <si>
    <t>4670159218487</t>
  </si>
  <si>
    <t>041d6de221e9d54851ab10910a4bbe4a</t>
  </si>
  <si>
    <t>СЕРИЯ: МЕДИЦИНСКАЯ КАРТА. 7БЦ 144л, мат.ламин, кругл.углы, резинка, офсет 218х153</t>
  </si>
  <si>
    <t>239106</t>
  </si>
  <si>
    <t xml:space="preserve">МЕДИЦИНСКАЯ КАРТА с резинкой. ГОЛУБАЯ (капибара с уточкой) </t>
  </si>
  <si>
    <t>467-0-159-21787-9</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</si>
  <si>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карта прослужит долгие годы.</t>
  </si>
  <si>
    <t>4670159217879</t>
  </si>
  <si>
    <t>32a0b9e3086c36eade87a6a1477af65a</t>
  </si>
  <si>
    <t>218х153х15</t>
  </si>
  <si>
    <t>215999</t>
  </si>
  <si>
    <t xml:space="preserve">МЕДИЦИНСКАЯ КАРТА с резинкой. ЗЕЛЁНАЯ </t>
  </si>
  <si>
    <t>467-0-159-10787-3</t>
  </si>
  <si>
    <t>Медицинская карта необходима с рождения каждому малышу. Наша карта составлена по стандартной форме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и удобной резинке карта прослужит долгие годы, сохранив аккуратный вид.</t>
  </si>
  <si>
    <t>4670159107873</t>
  </si>
  <si>
    <t>cf0551c3bd15bbe2be1a36bc4440d238</t>
  </si>
  <si>
    <t>230514</t>
  </si>
  <si>
    <t xml:space="preserve">МЕДИЦИНСКАЯ КАРТА с резинкой. ЛЕКАРСТВА </t>
  </si>
  <si>
    <t>467-0-159-17653-4</t>
  </si>
  <si>
    <t>4670159176534</t>
  </si>
  <si>
    <t>246439</t>
  </si>
  <si>
    <t xml:space="preserve">МЕДИЦИНСКАЯ КАРТА с резинкой. ОРАНЖЕВАЯ (гусь-доктор) </t>
  </si>
  <si>
    <t>467-0-159-24737-1</t>
  </si>
  <si>
    <t>4670159247371</t>
  </si>
  <si>
    <t>e2b9bb7f5e01911a99ee6a9b6ce3a7d6</t>
  </si>
  <si>
    <t>215997</t>
  </si>
  <si>
    <t xml:space="preserve">МЕДИЦИНСКАЯ КАРТА с резинкой. РОЗОВАЯ </t>
  </si>
  <si>
    <t>467-0-159-10786-6</t>
  </si>
  <si>
    <t>4670159107866</t>
  </si>
  <si>
    <t>8ab8573a475e7d12f944c3beb7192e02</t>
  </si>
  <si>
    <t>239105</t>
  </si>
  <si>
    <t xml:space="preserve">МЕДИЦИНСКАЯ КАРТА с резинкой. РОЗОВАЯ (капибара с апельсином) </t>
  </si>
  <si>
    <t>467-0-159-21786-2</t>
  </si>
  <si>
    <t>4670159217862</t>
  </si>
  <si>
    <t>88e47c519fce0eba851a71c012f0bb2f</t>
  </si>
  <si>
    <t>215993</t>
  </si>
  <si>
    <t xml:space="preserve">МЕДИЦИНСКАЯ КАРТА с резинкой. СИНЯЯ </t>
  </si>
  <si>
    <t>467-0-159-10785-9</t>
  </si>
  <si>
    <t>4670159107859</t>
  </si>
  <si>
    <t>69c9a6e36bb712b12963e957c0280368</t>
  </si>
  <si>
    <t>226785</t>
  </si>
  <si>
    <t xml:space="preserve">МЕДИЦИНСКАЯ КАРТА с резинкой. ФИОЛЕТОВАЯ </t>
  </si>
  <si>
    <t>467-0-159-16184-4</t>
  </si>
  <si>
    <t>4670159161844</t>
  </si>
  <si>
    <t>246442</t>
  </si>
  <si>
    <t xml:space="preserve">МЕДИЦИНСКАЯ КАРТА с резинкой. ФИОЛЕТОВАЯ (гусь с сердечком) </t>
  </si>
  <si>
    <t>467-0-159-24738-8</t>
  </si>
  <si>
    <t>4670159247388</t>
  </si>
  <si>
    <t>4796c52cf1f4a57d9f8ec700e441c855</t>
  </si>
  <si>
    <t>СЕРИЯ: МЕДИЦИНСКАЯ КАРТА. 7БЦ 144л, мат.ламин, офсет 220х153</t>
  </si>
  <si>
    <t>203394</t>
  </si>
  <si>
    <t>МЕДИЦИНСКАЯ КАРТА. 7БЦ. ГОЛУБАЯ</t>
  </si>
  <si>
    <t>467-0-159-03428-5</t>
  </si>
  <si>
    <t>4670159034285</t>
  </si>
  <si>
    <t>220х153х15</t>
  </si>
  <si>
    <t>241751</t>
  </si>
  <si>
    <t>МЕДИЦИНСКАЯ КАРТА. 7БЦ. ЗАЙКА</t>
  </si>
  <si>
    <t>467-0-159-22166-1</t>
  </si>
  <si>
    <t>4670159221661</t>
  </si>
  <si>
    <t>230516</t>
  </si>
  <si>
    <t>МЕДИЦИНСКАЯ КАРТА. 7БЦ. ЛУПА</t>
  </si>
  <si>
    <t>467-0-159-17654-1</t>
  </si>
  <si>
    <t>4670159176541</t>
  </si>
  <si>
    <t>203391</t>
  </si>
  <si>
    <t>МЕДИЦИНСКАЯ КАРТА. 7БЦ. РОЗОВАЯ</t>
  </si>
  <si>
    <t>467-0-159-03427-8</t>
  </si>
  <si>
    <t>4670159034278</t>
  </si>
  <si>
    <t>СЕРИЯ: МЕДИЦИНСКАЯ КАРТА. КБС 96л, офсет 200х153</t>
  </si>
  <si>
    <t>203397</t>
  </si>
  <si>
    <t>МЕДИЦИНСКАЯ КАРТА. КБС. ЗЕЛЁНАЯ</t>
  </si>
  <si>
    <t>467-0-159-03429-2</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</si>
  <si>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t>
  </si>
  <si>
    <t>4670159034292</t>
  </si>
  <si>
    <t>200х150х9</t>
  </si>
  <si>
    <t>214954</t>
  </si>
  <si>
    <t>МЕДИЦИНСКАЯ КАРТА. КБС. ПЛАНШЕТ</t>
  </si>
  <si>
    <t>467-0-159-10071-3</t>
  </si>
  <si>
    <t>4670159100713</t>
  </si>
  <si>
    <t>СЕРИЯ: СЕРТИФИКАТ о профилактических прививках 12л, офсет 98х140</t>
  </si>
  <si>
    <t>220102</t>
  </si>
  <si>
    <t>СЕРТИФИКАТ о профилактических прививках. ГОЛУБОЙ</t>
  </si>
  <si>
    <t>467-0-159-12485-6</t>
  </si>
  <si>
    <t>Сертификат о профилактических прививках составлен в соответствие с утверждённой формой 156/у-93 и содержит как прививки, входящие в Национальный календарь, так и ряд дополнительных прививок. Этот документ необходимым для новорождённых детей, детей старшего возраста и взрослых при проведении вакцинации. Сертификат о профилактических прививках обеспечивает быстрый доступ к данным о вакцинации, что может потребоваться при поступлении в учебное заведение, устройстве на работу и в различных других ситуациях.</t>
  </si>
  <si>
    <t>4670159124856</t>
  </si>
  <si>
    <t>5ba712fec66beba6fb91088735d12172</t>
  </si>
  <si>
    <t>98х140х2</t>
  </si>
  <si>
    <t>220103</t>
  </si>
  <si>
    <t>СЕРТИФИКАТ о профилактических прививках. ОРАНЖЕВЫЙ</t>
  </si>
  <si>
    <t>467-0-159-12487-0</t>
  </si>
  <si>
    <t>4670159124870</t>
  </si>
  <si>
    <t>220104</t>
  </si>
  <si>
    <t>СЕРТИФИКАТ о профилактических прививках. РОЗОВЫЙ</t>
  </si>
  <si>
    <t>467-0-159-12486-3</t>
  </si>
  <si>
    <t>4670159124863</t>
  </si>
  <si>
    <t>253369</t>
  </si>
  <si>
    <t>СЕРТИФИКАТ о профилактических прививках. ШПИЦ</t>
  </si>
  <si>
    <t>467-0-159-26534-4</t>
  </si>
  <si>
    <t>4670159265344</t>
  </si>
  <si>
    <t>СЕРИЯ: СЕРТИФИКАТ о профилактических прививках 12л, офсет, 7БЦ 115х153</t>
  </si>
  <si>
    <t>243425</t>
  </si>
  <si>
    <t>СЕРТИФИКАТ о профилактических прививках 7БЦ. ЗАЯЦ</t>
  </si>
  <si>
    <t>467-0-159-23180-6</t>
  </si>
  <si>
    <t>4670159231806</t>
  </si>
  <si>
    <t>115х153х5</t>
  </si>
  <si>
    <t>243426</t>
  </si>
  <si>
    <t>СЕРТИФИКАТ о профилактических прививках 7БЦ. КОТ</t>
  </si>
  <si>
    <t>467-0-159-23181-3</t>
  </si>
  <si>
    <t>4670159231813</t>
  </si>
  <si>
    <t>243424</t>
  </si>
  <si>
    <t>СЕРТИФИКАТ о профилактических прививках 7БЦ. ЛИСТЬЯ</t>
  </si>
  <si>
    <t>467-0-159-23179-0</t>
  </si>
  <si>
    <t>4670159231790</t>
  </si>
  <si>
    <t>243427</t>
  </si>
  <si>
    <t>СЕРТИФИКАТ о профилактических прививках 7БЦ. ПЁС</t>
  </si>
  <si>
    <t>467-0-159-23182-0</t>
  </si>
  <si>
    <t>4670159231820</t>
  </si>
  <si>
    <t>Наклейки и стикербуки</t>
  </si>
  <si>
    <t>СЕРИЯ: 100 крутых стикеров 195х276</t>
  </si>
  <si>
    <t>221310</t>
  </si>
  <si>
    <t>100 крутых стикеров. Аниме</t>
  </si>
  <si>
    <t>467-0-159-13046-8</t>
  </si>
  <si>
    <t>В брошюре вы найдете целых 100 ярких стикеров с крутыми дизайнами! Благодаря качественной самоклеющейся бумаге наклейки легко отрываются от основы. Их можно наклеить куда угодно: на мобильный телефон, ноутбук, в тетрадку — куда подскажет фантазия!</t>
  </si>
  <si>
    <t>4670159130468</t>
  </si>
  <si>
    <t>195x276x2</t>
  </si>
  <si>
    <t>214517</t>
  </si>
  <si>
    <t>100 крутых стикеров. Котики</t>
  </si>
  <si>
    <t>467-0-159-09961-1</t>
  </si>
  <si>
    <t>4670159099611</t>
  </si>
  <si>
    <t>221311</t>
  </si>
  <si>
    <t>100 крутых стикеров. На каждый день</t>
  </si>
  <si>
    <t>467-0-159-13047-5</t>
  </si>
  <si>
    <t>4670159130475</t>
  </si>
  <si>
    <t xml:space="preserve">СЕРИЯ: 100 НАКЛЕЕК 196х276 </t>
  </si>
  <si>
    <t>245182</t>
  </si>
  <si>
    <t>100 НАКЛЕЕК А4. Домашние животные</t>
  </si>
  <si>
    <t>467-0-159-24244-4</t>
  </si>
  <si>
    <t>В серии 100 наклеек собраны стикеры на разные темы: Котики, Песики, Капибары, Транспорт, Домашние животные и Россия. Все наклейки хорошо отклеиваются от основы, и вы можете украсить ими любимый блокнот, обложку тетради, чехол гаджета и не только. 100 наклеек точно на все хватит!</t>
  </si>
  <si>
    <t>4670159242444</t>
  </si>
  <si>
    <t>09.01.2025 0:00:00</t>
  </si>
  <si>
    <t>245178</t>
  </si>
  <si>
    <t>100 НАКЛЕЕК А4. Капибара и Ко</t>
  </si>
  <si>
    <t>467-0-159-24242-0</t>
  </si>
  <si>
    <t>4670159242420</t>
  </si>
  <si>
    <t>245180</t>
  </si>
  <si>
    <t>100 НАКЛЕЕК А4. Котики</t>
  </si>
  <si>
    <t>467-0-159-24243-7</t>
  </si>
  <si>
    <t>4670159242437</t>
  </si>
  <si>
    <t>245211</t>
  </si>
  <si>
    <t>100 НАКЛЕЕК А4. Я люблю Россию</t>
  </si>
  <si>
    <t>467-0-159-24246-8</t>
  </si>
  <si>
    <t>4670159242468</t>
  </si>
  <si>
    <t xml:space="preserve">СЕРИЯ: 101 НАКЛЕЙКА мелов.обл. 210х145 </t>
  </si>
  <si>
    <t>229526</t>
  </si>
  <si>
    <t>101 НАКЛЕЙКА. КАКОЙ БЫВАЕТ ТРАНСПОРТ</t>
  </si>
  <si>
    <t>978-5-378-34776-6</t>
  </si>
  <si>
    <t>Книги с наклейками не только яркие, увлекательные и интересные, но ещё и очень полезные. Они развивают усидчивость, аккуратность, мелкую моторику и логическое мышление. Малышу нужно отцепить наклейку от бумажной основы, что не так-то просто сделать детским ручкам. А потом ещё тщательно подумать и найти место на страничках книги для каждого стикера. В серии представлены наборы на различные темы.</t>
  </si>
  <si>
    <t>9785378347766</t>
  </si>
  <si>
    <t>210x145x2</t>
  </si>
  <si>
    <t>229527</t>
  </si>
  <si>
    <t>101 НАКЛЕЙКА. КОСМОС</t>
  </si>
  <si>
    <t>978-5-378-34777-3</t>
  </si>
  <si>
    <t>9785378347773</t>
  </si>
  <si>
    <t>229524</t>
  </si>
  <si>
    <t>101 НАКЛЕЙКА. МИР ДИКИХ ЖИВОТНЫХ</t>
  </si>
  <si>
    <t>978-5-378-34774-2</t>
  </si>
  <si>
    <t>9785378347742</t>
  </si>
  <si>
    <t xml:space="preserve">СЕРИЯ: 150 СТИКЕРОВ 195х276 </t>
  </si>
  <si>
    <t>263058</t>
  </si>
  <si>
    <t>150 СТИКЕРОВ. Динозавры</t>
  </si>
  <si>
    <t>467-0-159-29103-9</t>
  </si>
  <si>
    <t>4670159291039</t>
  </si>
  <si>
    <t>5e1d481afcfa8ea2a76a0933adf9edf7</t>
  </si>
  <si>
    <t>263061</t>
  </si>
  <si>
    <t>150 СТИКЕРОВ. Домашние животные</t>
  </si>
  <si>
    <t>467-0-159-29105-3</t>
  </si>
  <si>
    <t>4670159291053</t>
  </si>
  <si>
    <t>98e9da51e3d876b6f031874802c087dc</t>
  </si>
  <si>
    <t>263059</t>
  </si>
  <si>
    <t>150 СТИКЕРОВ. Котики</t>
  </si>
  <si>
    <t>467-0-159-29104-6</t>
  </si>
  <si>
    <t>4670159291046</t>
  </si>
  <si>
    <t>d313b8e1b10debe2869ffa9d2ad6cbb5</t>
  </si>
  <si>
    <t>263060</t>
  </si>
  <si>
    <t>150 СТИКЕРОВ. Транспорт</t>
  </si>
  <si>
    <t>467-0-159-29106-0</t>
  </si>
  <si>
    <t>4670159291060</t>
  </si>
  <si>
    <t>528678be05deaf81c59b7aa0d3acdcfe</t>
  </si>
  <si>
    <t>СЕРИЯ: 50 КРУТЫХ СТИКЕРОВ А5 4л глянц.ламинация</t>
  </si>
  <si>
    <t>193992</t>
  </si>
  <si>
    <t>СТИКЕРБУК А5 4л. CRAZY МОНСТРИКИ</t>
  </si>
  <si>
    <t>462-0-129-78349-1</t>
  </si>
  <si>
    <t>Будь круче, будь ярче с нашими новыми наклейками! Любимая серия пополнилась забавными стикерами, которыми можно украсить всё что угодно: альбом, тетрадь, пенал... и даже мебель в своей комнате!</t>
  </si>
  <si>
    <t>4620129783491</t>
  </si>
  <si>
    <t>51ea17b78ce202e3ea4ba59802f81197</t>
  </si>
  <si>
    <t>160х230х2</t>
  </si>
  <si>
    <t>188945</t>
  </si>
  <si>
    <t>СТИКЕРБУК А5 4л. КОТИКИ НЯШКИ</t>
  </si>
  <si>
    <t>462-0-129-76285-4</t>
  </si>
  <si>
    <t>Будь круче, будь ярче с новыми наклейками! Серию пополнили новые крутые стикеры - всеми любимые котики и пёсики! Забавные и смешные, ими можно украсить всё что угодно: альбом, тетрадь, пенал... и даже мебель в своей комнате!</t>
  </si>
  <si>
    <t>4620129762854</t>
  </si>
  <si>
    <t xml:space="preserve">СЕРИЯ: СТИКЕРБУК с наклейками А5 8л </t>
  </si>
  <si>
    <t>238458</t>
  </si>
  <si>
    <t>СТИКЕРБУК. АНИМЕ</t>
  </si>
  <si>
    <t>467-0-159-21439-7</t>
  </si>
  <si>
    <t>Стикербук станет отличным помощником в планировании! Наклейки позволят расставить акценты на странице именно так, как нужно тебе. Внутри есть наклейки с названиями месяцев, с пометками о срочности и важности дел, а также много симпатичных стикеров, которыми приятно украсить свой точкабук.</t>
  </si>
  <si>
    <t>4670159214397</t>
  </si>
  <si>
    <t>c96656337008b11aabe71b1685014e1f</t>
  </si>
  <si>
    <t>160х230х4</t>
  </si>
  <si>
    <t>169769</t>
  </si>
  <si>
    <t>СТИКЕРБУК. СТИКЕРЫ ДЛЯ МОЕГО БЛОКНОТА</t>
  </si>
  <si>
    <t>461-0-144-86766-5</t>
  </si>
  <si>
    <t>4610144867665</t>
  </si>
  <si>
    <t>СЕРИЯ: СТИКЕРПАК в конверте 8л 110х175</t>
  </si>
  <si>
    <t>200280</t>
  </si>
  <si>
    <t>СТИКЕРПАК. МАГИЧЕСКИЙ</t>
  </si>
  <si>
    <t>467-0-159-01536-9</t>
  </si>
  <si>
    <t>Картонный конверт - идеальная упаковка для хранения стикеров! В каждом стикерпаке вы найдёте 8 листов с наклейками. Наклейки в пределах каждого стикерпака выполнены в едином стиле, поэтому позволят сделать лаконичное и единообразное оформление в точкабуке, творческом блокноте, ежедневнике или личном дневнике.</t>
  </si>
  <si>
    <t>4670159015369</t>
  </si>
  <si>
    <t>европодвес</t>
  </si>
  <si>
    <t>110х175х1</t>
  </si>
  <si>
    <t>192376</t>
  </si>
  <si>
    <t>СТИКЕРПАК. СТИКЕРЫ В СТИЛЕ АКВАРЕЛЬ</t>
  </si>
  <si>
    <t>462-0-129-77649-3</t>
  </si>
  <si>
    <t>4620129776493</t>
  </si>
  <si>
    <t>Сkетчбуки</t>
  </si>
  <si>
    <t>СЕРИЯ: СКЕТЧБУК А5 матовая ламин. выб.лак, кругл.углы, резинка, 80л. 145х203 (бумага 100 гр)</t>
  </si>
  <si>
    <t>249478</t>
  </si>
  <si>
    <t>СКЕТЧБУК А5. WILD PINK (выб.лак)</t>
  </si>
  <si>
    <t>467-0-159-25763-9</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</si>
  <si>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</si>
  <si>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4670159257639</t>
  </si>
  <si>
    <t>2b87bcfce9de8b31407a2fdf6a3bbd96</t>
  </si>
  <si>
    <t>Скетчбуки А5</t>
  </si>
  <si>
    <t>192113</t>
  </si>
  <si>
    <t>СКЕТЧБУК А5. АНИМЕ (выб.лак)</t>
  </si>
  <si>
    <t>462-0-129-77512-0</t>
  </si>
  <si>
    <t>4620129775120</t>
  </si>
  <si>
    <t>193267</t>
  </si>
  <si>
    <t>СКЕТЧБУК А5. АНИМЕ. В МАСКЕ ЛИСЫ</t>
  </si>
  <si>
    <t>462-0-129-77964-7</t>
  </si>
  <si>
    <t>4620129779647</t>
  </si>
  <si>
    <t>198345</t>
  </si>
  <si>
    <t>СКЕТЧБУК А5. АНИМЕ. ВОИН ВЕТРА (выб.лак)</t>
  </si>
  <si>
    <t>467-0-159-00597-1</t>
  </si>
  <si>
    <t>4670159005971</t>
  </si>
  <si>
    <t>193265</t>
  </si>
  <si>
    <t>СКЕТЧБУК А5. АНИМЕ. ВСЁ БУДЕТ ХОРОШО</t>
  </si>
  <si>
    <t>462-0-129-77962-3</t>
  </si>
  <si>
    <t>4620129779623</t>
  </si>
  <si>
    <t>214929</t>
  </si>
  <si>
    <t>СКЕТЧБУК А5. АНИМЕ. ДЕВОЧКА-КОШКА (выб.лак)</t>
  </si>
  <si>
    <t>467-0-159-10069-0</t>
  </si>
  <si>
    <t>4670159100690</t>
  </si>
  <si>
    <t>198349</t>
  </si>
  <si>
    <t>СКЕТЧБУК А5. АНИМЕ. КАРТОЧНЫЙ СВЕТОЧ (выб.лак)</t>
  </si>
  <si>
    <t>467-0-159-00599-5</t>
  </si>
  <si>
    <t>4670159005995</t>
  </si>
  <si>
    <t>145х204х13</t>
  </si>
  <si>
    <t>214930</t>
  </si>
  <si>
    <t>СКЕТЧБУК А5. АНИМЕ. МЯУ (выб.лак)</t>
  </si>
  <si>
    <t>467-0-159-10070-6</t>
  </si>
  <si>
    <t>4670159100706</t>
  </si>
  <si>
    <t>214928</t>
  </si>
  <si>
    <t>СКЕТЧБУК А5. АНИМЕ. СЛАДКИЙ ВКУС (выб.лак)</t>
  </si>
  <si>
    <t>467-0-159-10068-3</t>
  </si>
  <si>
    <t>4670159100683</t>
  </si>
  <si>
    <t>198347</t>
  </si>
  <si>
    <t>СКЕТЧБУК А5. АНИМЕ. ТОКИЙСКИЙ ВЕЧЕР (выб.лак)</t>
  </si>
  <si>
    <t>467-0-159-00598-8</t>
  </si>
  <si>
    <t>4670159005988</t>
  </si>
  <si>
    <t>102919</t>
  </si>
  <si>
    <t>СКЕТЧБУК А5. АПЕЛЬСИН (выб.лак)</t>
  </si>
  <si>
    <t>466-5-303-52449-1</t>
  </si>
  <si>
    <t>4665303524491</t>
  </si>
  <si>
    <t>152592</t>
  </si>
  <si>
    <t>СКЕТЧБУК А5. Ван Гог. ЗВЁЗДНАЯ НОЧЬ-2 (выб.лак)</t>
  </si>
  <si>
    <t>468-0-088-46132-8</t>
  </si>
  <si>
    <t>4680088461328</t>
  </si>
  <si>
    <t>136607</t>
  </si>
  <si>
    <t>СКЕТЧБУК А5. Ван Гог. ИРИСЫ (выб.лак)</t>
  </si>
  <si>
    <t>468-0-088-40250-5</t>
  </si>
  <si>
    <t>4680088402505</t>
  </si>
  <si>
    <t>147007</t>
  </si>
  <si>
    <t>СКЕТЧБУК А5. Ван Гог. ПОДСОЛНУХИ (выб.лак)</t>
  </si>
  <si>
    <t>468-0-088-42260-2</t>
  </si>
  <si>
    <t>4680088422602</t>
  </si>
  <si>
    <t>227822</t>
  </si>
  <si>
    <t>СКЕТЧБУК А5. ВИТРАЖ ЕДИНОРОГ (выб.лак)</t>
  </si>
  <si>
    <t>467-0-159-16718-1</t>
  </si>
  <si>
    <t>4670159167181</t>
  </si>
  <si>
    <t>ad77ff601238bf9fc34e1bdc06f10e2d</t>
  </si>
  <si>
    <t>227818</t>
  </si>
  <si>
    <t>СКЕТЧБУК А5. ВИТРАЖ ОЛЕНЬ (выб.лак)</t>
  </si>
  <si>
    <t>467-0-159-16717-4</t>
  </si>
  <si>
    <t>4670159167174</t>
  </si>
  <si>
    <t>bacb6ccf26476ed1835fdfb6e750df78</t>
  </si>
  <si>
    <t>210755</t>
  </si>
  <si>
    <t>СКЕТЧБУК А5. ГУСИКИ (выб.лак)</t>
  </si>
  <si>
    <t>467-0-159-07782-4</t>
  </si>
  <si>
    <t>4670159077824</t>
  </si>
  <si>
    <t>136610</t>
  </si>
  <si>
    <t>СКЕТЧБУК А5. Густав Климт. ЗОЛОТАЯ АДЕЛЬ (выб.лак)</t>
  </si>
  <si>
    <t>468-0-088-40251-2</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</si>
  <si>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</si>
  <si>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4680088402512</t>
  </si>
  <si>
    <t>136608</t>
  </si>
  <si>
    <t>СКЕТЧБУК А5. Густав Климт. ПОЦЕЛУЙ (выб.лак)</t>
  </si>
  <si>
    <t>468-0-088-40252-9</t>
  </si>
  <si>
    <t>4680088402529</t>
  </si>
  <si>
    <t>246436</t>
  </si>
  <si>
    <t>СКЕТЧБУК А5. ГУСЬ (выб.лак)</t>
  </si>
  <si>
    <t>467-0-159-24739-5</t>
  </si>
  <si>
    <t>4670159247395</t>
  </si>
  <si>
    <t>f33386cb412cecc1026b1ca89c7ecb5a</t>
  </si>
  <si>
    <t>05.02.2025 0:00:00</t>
  </si>
  <si>
    <t>227148</t>
  </si>
  <si>
    <t>СКЕТЧБУК А5. ДЕВОЧКА С ЦВЕТНЫМИ ВОЛОСАМИ (выб.лак)</t>
  </si>
  <si>
    <t>467-0-159-16293-3</t>
  </si>
  <si>
    <t>4670159162933</t>
  </si>
  <si>
    <t>f5333d6dfe2914bb0e64d5c95db7ba7f</t>
  </si>
  <si>
    <t>210756</t>
  </si>
  <si>
    <t>СКЕТЧБУК А5. ДЕВУШКА АНИМЕ (выб.лак)</t>
  </si>
  <si>
    <t>467-0-159-07783-1</t>
  </si>
  <si>
    <t>4670159077831</t>
  </si>
  <si>
    <t>226609</t>
  </si>
  <si>
    <t>СКЕТЧБУК А5. ДЕВУШКА ЭЛЬФ (выб.лак)</t>
  </si>
  <si>
    <t>467-0-159-16181-3</t>
  </si>
  <si>
    <t>4670159161813</t>
  </si>
  <si>
    <t>738194c41117dd83f366165d8f77d68e</t>
  </si>
  <si>
    <t>227150</t>
  </si>
  <si>
    <t>СКЕТЧБУК А5. ДЕВУШКА-ПАНК (выб.лак)</t>
  </si>
  <si>
    <t>467-0-159-16295-7</t>
  </si>
  <si>
    <t>4670159162957</t>
  </si>
  <si>
    <t>226608</t>
  </si>
  <si>
    <t>СКЕТЧБУК А5. ДРАКОН (выб.лак)</t>
  </si>
  <si>
    <t>467-0-159-16180-6</t>
  </si>
  <si>
    <t>4670159161806</t>
  </si>
  <si>
    <t>249479</t>
  </si>
  <si>
    <t>СКЕТЧБУК А5. ЗВЁЗДНАЯ НОЧЬ В ПУСТЫНЕ (выб.лак)</t>
  </si>
  <si>
    <t>467-0-159-25743-1</t>
  </si>
  <si>
    <t>4670159257431</t>
  </si>
  <si>
    <t>51bb5bc6771b541cb7152d71f25b883f</t>
  </si>
  <si>
    <t>116861</t>
  </si>
  <si>
    <t>СКЕТЧБУК А5. ЗВЁЗДНАЯ НОЧЬ. Ван Гог (выб.лак)</t>
  </si>
  <si>
    <t>460-7-978-06882-5</t>
  </si>
  <si>
    <t>4607978068825</t>
  </si>
  <si>
    <t>084585</t>
  </si>
  <si>
    <t>СКЕТЧБУК А5. ЗВЕЗДНОЕ НЕБО</t>
  </si>
  <si>
    <t>466-5-303-51612-0</t>
  </si>
  <si>
    <t>4665303516120</t>
  </si>
  <si>
    <t>06.06.2018 0:00:00</t>
  </si>
  <si>
    <t>124069</t>
  </si>
  <si>
    <t>СКЕТЧБУК А5. ЗВЁЗДНЫЙ ЕДИНОРОГ (выб.лак)</t>
  </si>
  <si>
    <t>463-0-079-15610-8</t>
  </si>
  <si>
    <t>4630079156108</t>
  </si>
  <si>
    <t>171679</t>
  </si>
  <si>
    <t>СКЕТЧБУК А5. КАКТУС С БАНТИКОМ (выб.лак)</t>
  </si>
  <si>
    <t>461-0-144-87376-5</t>
  </si>
  <si>
    <t>4610144873765</t>
  </si>
  <si>
    <t>214926</t>
  </si>
  <si>
    <t>СКЕТЧБУК А5. КАМУФЛЯЖ (выб.лак)</t>
  </si>
  <si>
    <t>467-0-159-10065-2</t>
  </si>
  <si>
    <t>4670159100652</t>
  </si>
  <si>
    <t>217522</t>
  </si>
  <si>
    <t>СКЕТЧБУК А5. КАССЕТА (выб.лак)</t>
  </si>
  <si>
    <t>467-0-159-11648-6</t>
  </si>
  <si>
    <t>4670159116486</t>
  </si>
  <si>
    <t>152598</t>
  </si>
  <si>
    <t>СКЕТЧБУК А5. Клод Моне. ВОДЯНЫЕ ЛИЛИИ (выб.лак)</t>
  </si>
  <si>
    <t>468-0-088-46332-2</t>
  </si>
  <si>
    <t>4680088463322</t>
  </si>
  <si>
    <t>231721</t>
  </si>
  <si>
    <t>СКЕТЧБУК А5. КОСМИЧЕСКИЙ КОТ (выб.лак)</t>
  </si>
  <si>
    <t>467-0-159-17928-3</t>
  </si>
  <si>
    <t>4670159179283</t>
  </si>
  <si>
    <t>a3d2b5b97ef772be221731c197426949</t>
  </si>
  <si>
    <t>23.10.2024 0:00:00</t>
  </si>
  <si>
    <t>214927</t>
  </si>
  <si>
    <t>СКЕТЧБУК А5. КОТ ИЗ БУДУЩЕГО (выб.лак)</t>
  </si>
  <si>
    <t>467-0-159-10074-4</t>
  </si>
  <si>
    <t>4670159100744</t>
  </si>
  <si>
    <t>231726</t>
  </si>
  <si>
    <t>СКЕТЧБУК А5. КОТ ЛЯ РУС (выб.лак)</t>
  </si>
  <si>
    <t>467-0-159-17929-0</t>
  </si>
  <si>
    <t>4670159179290</t>
  </si>
  <si>
    <t>188735</t>
  </si>
  <si>
    <t>СКЕТЧБУК А5. КОТИК (выб.лак)</t>
  </si>
  <si>
    <t>462-0-129-75994-6</t>
  </si>
  <si>
    <t>4620129759946</t>
  </si>
  <si>
    <t>217528</t>
  </si>
  <si>
    <t>СКЕТЧБУК А5. КОТИК С ЧАШКОЙ (выб.лак)</t>
  </si>
  <si>
    <t>467-0-159-11650-9</t>
  </si>
  <si>
    <t>4670159116509</t>
  </si>
  <si>
    <t>217532</t>
  </si>
  <si>
    <t>СКЕТЧБУК А5. КОШКА НА ТАБУРЕТКЕ (выб.лак)</t>
  </si>
  <si>
    <t>467-0-159-11651-6</t>
  </si>
  <si>
    <t>4670159116516</t>
  </si>
  <si>
    <t>227149</t>
  </si>
  <si>
    <t>СКЕТЧБУК А5. КРАСАВЧИК (выб.лак)</t>
  </si>
  <si>
    <t>467-0-159-16294-0</t>
  </si>
  <si>
    <t>4670159162940</t>
  </si>
  <si>
    <t>226610</t>
  </si>
  <si>
    <t>СКЕТЧБУК А5. ЛИС В ВОЛШЕБНОМ ЛЕСУ (выб.лак)</t>
  </si>
  <si>
    <t>467-0-159-16182-0</t>
  </si>
  <si>
    <t>4670159161820</t>
  </si>
  <si>
    <t>188736</t>
  </si>
  <si>
    <t>СКЕТЧБУК А5. МАГИЯ (выб.лак)</t>
  </si>
  <si>
    <t>462-0-129-75995-3</t>
  </si>
  <si>
    <t>4620129759953</t>
  </si>
  <si>
    <t>204749</t>
  </si>
  <si>
    <t>СКЕТЧБУК А5. МОРДАШКИ АНИМЕ (выб.лак)</t>
  </si>
  <si>
    <t>467-0-159-04679-0</t>
  </si>
  <si>
    <t>Представляем наш новый яркий скетчбук в твердом переплете. Стильная обложка с мордашками аниме поднимет настроение и вдохновит на невероятные творческие свершения!</t>
  </si>
  <si>
    <t>4670159046790</t>
  </si>
  <si>
    <t>249482</t>
  </si>
  <si>
    <t>СКЕТЧБУК А5. НАВСТРЕЧУ СУДЬБЕ (выб.лак)</t>
  </si>
  <si>
    <t>467-0-159-25654-0</t>
  </si>
  <si>
    <t>4670159256540</t>
  </si>
  <si>
    <t>dd7a9d992bbcdef0f415db2bc3ef0872</t>
  </si>
  <si>
    <t>210752</t>
  </si>
  <si>
    <t>СКЕТЧБУК А5. НЯШКИ СТРАШИЛКИ (выб.лак)</t>
  </si>
  <si>
    <t>467-0-159-07780-0</t>
  </si>
  <si>
    <t>4670159077800</t>
  </si>
  <si>
    <t>249480</t>
  </si>
  <si>
    <t>СКЕТЧБУК А5. ОАЗИС (выб.лак)</t>
  </si>
  <si>
    <t>467-0-159-25652-6</t>
  </si>
  <si>
    <t>4670159256526</t>
  </si>
  <si>
    <t>c7eb05c275109c570153a7ef5486d193</t>
  </si>
  <si>
    <t>226607</t>
  </si>
  <si>
    <t>СКЕТЧБУК А5. ОЛЕНЬ В ВОЛШЕБНОМ ЛЕСУ (выб.лак)</t>
  </si>
  <si>
    <t>467-0-159-16179-0</t>
  </si>
  <si>
    <t>4670159161790</t>
  </si>
  <si>
    <t>3cf6d59cd11331b444d98345d3d26a5a</t>
  </si>
  <si>
    <t>217534</t>
  </si>
  <si>
    <t>СКЕТЧБУК А5. ПАНК (выб.лак)</t>
  </si>
  <si>
    <t>467-0-159-11652-3</t>
  </si>
  <si>
    <t>4670159116523</t>
  </si>
  <si>
    <t>249481</t>
  </si>
  <si>
    <t>СКЕТЧБУК А5. ПЕСЧАНАЯ БУРЯ (выб.лак)</t>
  </si>
  <si>
    <t>467-0-159-25653-3</t>
  </si>
  <si>
    <t>4670159256533</t>
  </si>
  <si>
    <t>84ee5cacdce5db6c17cdccfb6af0935c</t>
  </si>
  <si>
    <t>227151</t>
  </si>
  <si>
    <t>СКЕТЧБУК А5. ПТИЧКИ-ПИКСЕЛИ (выб.лак)</t>
  </si>
  <si>
    <t>467-0-159-16296-4</t>
  </si>
  <si>
    <t>4670159162964</t>
  </si>
  <si>
    <t>c1fa1dbddc01e54dd3cdb590ee93652a</t>
  </si>
  <si>
    <t>152599</t>
  </si>
  <si>
    <t>СКЕТЧБУК А5. Пьер Огюст Ренуар. ПОРТРЕТ АКТРИСЫ ЖАННЫ САМАРИ (выб.лак)</t>
  </si>
  <si>
    <t>468-0-088-46333-9</t>
  </si>
  <si>
    <t>4680088463339</t>
  </si>
  <si>
    <t>217535</t>
  </si>
  <si>
    <t>СКЕТЧБУК А5. С ВЕЕРОМ (выб.лак)</t>
  </si>
  <si>
    <t>467-0-159-11653-0</t>
  </si>
  <si>
    <t>4670159116530</t>
  </si>
  <si>
    <t>13.12.2023 0:00:00</t>
  </si>
  <si>
    <t>217536</t>
  </si>
  <si>
    <t>СКЕТЧБУК А5. С ЛЕДЕНЦОМ (выб.лак)</t>
  </si>
  <si>
    <t>467-0-159-11654-7</t>
  </si>
  <si>
    <t>4670159116547</t>
  </si>
  <si>
    <t>210754</t>
  </si>
  <si>
    <t>СКЕТЧБУК А5. СОБАКА-ПИКСЕЛЬ (выб.лак)</t>
  </si>
  <si>
    <t>467-0-159-07781-7</t>
  </si>
  <si>
    <t>4670159077817</t>
  </si>
  <si>
    <t>120548</t>
  </si>
  <si>
    <t>СКЕТЧБУК А5. УЛИТКА (выб.лак)</t>
  </si>
  <si>
    <t>463-0-079-15200-1</t>
  </si>
  <si>
    <t>4630079152001</t>
  </si>
  <si>
    <t>214924</t>
  </si>
  <si>
    <t>СКЕТЧБУК А5. ХАКИ (выб.лак)</t>
  </si>
  <si>
    <t>467-0-159-10066-9</t>
  </si>
  <si>
    <t>4670159100669</t>
  </si>
  <si>
    <t>249483</t>
  </si>
  <si>
    <t>СКЕТЧБУК А5. ЦВЕТОК ПУСТЫНИ (выб.лак)</t>
  </si>
  <si>
    <t>467-0-159-25655-7</t>
  </si>
  <si>
    <t>4670159256557</t>
  </si>
  <si>
    <t>b6db7044a076650ddaf4150171b39d41</t>
  </si>
  <si>
    <t>227815</t>
  </si>
  <si>
    <t>СКЕТЧБУК А5. ЧИХУА (выб.лак)</t>
  </si>
  <si>
    <t>467-0-159-16481-4</t>
  </si>
  <si>
    <t>4670159164814</t>
  </si>
  <si>
    <t>5f52ef96281ae029191b47c96bc03458</t>
  </si>
  <si>
    <t>231715</t>
  </si>
  <si>
    <t>СКЕТЧБУК А5. ШЕДЕВРЫ ВИНСЕНТА ВАН ГОГА (выб.лак)</t>
  </si>
  <si>
    <t>467-0-159-17927-6</t>
  </si>
  <si>
    <t>4670159179276</t>
  </si>
  <si>
    <t>152597</t>
  </si>
  <si>
    <t>СКЕТЧБУК А5. Эдгар Дега. ГОЛУБЫЕ ТАНЦОВЩИЦЫ (выб.лак)</t>
  </si>
  <si>
    <t>468-0-088-46331-5</t>
  </si>
  <si>
    <t>4680088463315</t>
  </si>
  <si>
    <t>СЕРИЯ: СКЕТЧБУК АНИМЕ 40л выб.лак, кругл.углы, резинка, 130х210 (бумага 100 гр)</t>
  </si>
  <si>
    <t>185854</t>
  </si>
  <si>
    <t>СКЕТЧБУК АНИМЕ. ВОЛЕЙБОЛИСТ</t>
  </si>
  <si>
    <t>462-0-129-74734-9</t>
  </si>
  <si>
    <t>Яркие, запоминающиеся, удобные скетчбуки всегда под рукой в нужный момент! Это лучший помощник для активных, креативных и постоянно развивающихся людей. Благодаря компактному формату их можно носить с собой в сумке или рюкзаке. Фиксирующая резинка защищает страницы от повреждения.</t>
  </si>
  <si>
    <t>4620129747349</t>
  </si>
  <si>
    <t>130x210x10</t>
  </si>
  <si>
    <t>178590</t>
  </si>
  <si>
    <t>СКЕТЧБУК АНИМЕ. ДЕВОЧКА-ВОИН</t>
  </si>
  <si>
    <t>462-0-129-70618-6</t>
  </si>
  <si>
    <t>4620129706186</t>
  </si>
  <si>
    <t>178587</t>
  </si>
  <si>
    <t>СКЕТЧБУК АНИМЕ. ДЕВОЧКА-КОШКА</t>
  </si>
  <si>
    <t>462-0-129-70617-9</t>
  </si>
  <si>
    <t>4620129706179</t>
  </si>
  <si>
    <t>201328</t>
  </si>
  <si>
    <t>СКЕТЧБУК АНИМЕ. КРАСАВЧИК</t>
  </si>
  <si>
    <t>467-0-159-02134-6</t>
  </si>
  <si>
    <t>4670159021346</t>
  </si>
  <si>
    <t>201329</t>
  </si>
  <si>
    <t>СКЕТЧБУК АНИМЕ. МАГИЯ</t>
  </si>
  <si>
    <t>467-0-159-02133-9</t>
  </si>
  <si>
    <t>4670159021339</t>
  </si>
  <si>
    <t>Сkетчпады</t>
  </si>
  <si>
    <t>СЕРИЯ: АНИМЕ СКЕТЧПАД А5 40л холод.тиснение, КБС (бум 160гр)</t>
  </si>
  <si>
    <t>215057</t>
  </si>
  <si>
    <t>АНИМЕ СКЕТЧПАД. Блеск</t>
  </si>
  <si>
    <t>467-0-159-09435-7</t>
  </si>
  <si>
    <t>Новая серия скетчпадов с завораживающими обложками не оставит равнодушными тех, кто увлекается аниме, рисованием, скетчингом, графикой и граффити! Обложки выполнены с помощью технологии холодного тиснения, которая придаёт иллюстрациям эффект голограммы и добавляет ещё большей загадочности, нежности, эмоциональности главным героям в стиле аниме. Внутренний блок в скетчпадах, состоящий из 40 белоснежных листов (80 страниц) плотностью 160 г/м2, подойдёт для ваших записей, эскизов и зарисовок, а благодаря формату А5 и твёрдой подложке блокноты удобно брать с собой и воплощать свои идеи практически в любую минуту, когда посетит вдохновение!</t>
  </si>
  <si>
    <t>4670159094357</t>
  </si>
  <si>
    <t>148х205х9</t>
  </si>
  <si>
    <t>215055</t>
  </si>
  <si>
    <t>АНИМЕ СКЕТЧПАД. В лунном свете</t>
  </si>
  <si>
    <t>467-0-159-09433-3</t>
  </si>
  <si>
    <t>4670159094333</t>
  </si>
  <si>
    <t>215058</t>
  </si>
  <si>
    <t>АНИМЕ СКЕТЧПАД. Гипноз</t>
  </si>
  <si>
    <t>467-0-159-09436-4</t>
  </si>
  <si>
    <t>4670159094364</t>
  </si>
  <si>
    <t>228443</t>
  </si>
  <si>
    <t>АНИМЕ СКЕТЧПАД. Девочка с наушниками</t>
  </si>
  <si>
    <t>467-0-159-16400-5</t>
  </si>
  <si>
    <t>4670159164005</t>
  </si>
  <si>
    <t>13.08.2024 0:00:00</t>
  </si>
  <si>
    <t>Холодное тиснение</t>
  </si>
  <si>
    <t>228444</t>
  </si>
  <si>
    <t>АНИМЕ СКЕТЧПАД. Кибердевочка</t>
  </si>
  <si>
    <t>467-0-159-16401-2</t>
  </si>
  <si>
    <t>4670159164012</t>
  </si>
  <si>
    <t>228445</t>
  </si>
  <si>
    <t>АНИМЕ СКЕТЧПАД. Мальчик и кот</t>
  </si>
  <si>
    <t>467-0-159-16402-9</t>
  </si>
  <si>
    <t>4670159164029</t>
  </si>
  <si>
    <t>215056</t>
  </si>
  <si>
    <t>АНИМЕ СКЕТЧПАД. Нежная пара</t>
  </si>
  <si>
    <t>467-0-159-09434-0</t>
  </si>
  <si>
    <t>4670159094340</t>
  </si>
  <si>
    <t>228446</t>
  </si>
  <si>
    <t>АНИМЕ СКЕТЧПАД. Парочка</t>
  </si>
  <si>
    <t>467-0-159-16403-6</t>
  </si>
  <si>
    <t>4670159164036</t>
  </si>
  <si>
    <t>СЕРИЯ: КАРТОЧКИ ДЛЯ ФОТОСЕССИИ мат.ламин.105х160</t>
  </si>
  <si>
    <t>221910</t>
  </si>
  <si>
    <t>КАРТОЧКИ ДЛЯ ФОТОСЕССИИ. Лучший для мамы</t>
  </si>
  <si>
    <t>467-0-159-13390-2</t>
  </si>
  <si>
    <t>Кажется, ваш малыш только появился на свет, а вот он уже уверенно шагает навстречу приключениям! Набор карточек для фотосессии поможет запечатлеть важные и трогательные моменты в жизни любимого карапуза. Авторские иллюстрации доставят эстетическое удовольствие как в процессе съёмки, так и через много лет, когда эти фото будут просматриваться всей семьёй. Каждый ребёнок — лучший для мамы!</t>
  </si>
  <si>
    <t>4670159133902</t>
  </si>
  <si>
    <t>105х160х20</t>
  </si>
  <si>
    <t>209937</t>
  </si>
  <si>
    <t>КАРТОЧКИ ДЛЯ ФОТОСЕССИИ. Наша кроха</t>
  </si>
  <si>
    <t>467-0-159-05708-6</t>
  </si>
  <si>
    <t>Перед вами набор карточек для фотосессии с малышом. С их помощью вы сможете запечатлеть значимые события в жизни вашего крохи, например первую прогулку, появление зубика или любимую игрушку, зафиксировать его рост и развитие по месяцам. В наборе 30 двусторонних карточек — 12 карточек по месяцам и 18 карточек для разнообразных фотосессий.</t>
  </si>
  <si>
    <t>4670159057086</t>
  </si>
  <si>
    <t>105х160х22</t>
  </si>
  <si>
    <t>СЕРИЯ: КНИГА НА ПАМЯТЬ мат ламин, тиснение145х203</t>
  </si>
  <si>
    <t>267369</t>
  </si>
  <si>
    <t>КНИГА НА ПАМЯТЬ. ТВОЯ ИСТОРИЯ, БАБУШКА</t>
  </si>
  <si>
    <t>467-0-159-29230-2</t>
  </si>
  <si>
    <t>Эта книга поможет сблизиться с семей. В ней более ста вопросов для самых родных людей.
Заполнять книгу можно в одиночку или в тесном семейном кругу: вопросы из книги могут дать тему для разговора, который заполнится надолго. В конце книги есть страницы для свободного рассказа о себе и своей семьей, а также для дополнительных вопросов.
Твердый переплёт, тиснение на обложке и насыщенные цвета создают нарядный облик книги, которую хочется долго хранить и перечитывать!</t>
  </si>
  <si>
    <t>4670159292302</t>
  </si>
  <si>
    <t>264430</t>
  </si>
  <si>
    <t>КНИГА НА ПАМЯТЬ. ТВОЯ ИСТОРИЯ, МАМА</t>
  </si>
  <si>
    <t>467-0-159-29229-6</t>
  </si>
  <si>
    <t>4670159292296</t>
  </si>
  <si>
    <t>СЕРИЯ: КНИГА ПОЖЕЛАНИЙ НА СВАДЬБУ на гребне, мат.ламин, тиснение, 200х200</t>
  </si>
  <si>
    <t>251715</t>
  </si>
  <si>
    <t>КНИГА ПОЖЕЛАНИЙ НА СВАДЬБУ. ГОЛУБИ</t>
  </si>
  <si>
    <t>467-0-159-26119-3</t>
  </si>
  <si>
    <t>Книги пожеланий на свадьбу мы делали с особым трепетом. На их страницах каждый гость на свадьбе сможет оставить слова поддержки, любви и радости для молодоженов. Эти пожелания станут не только прекрасным воспоминанием об этом чудесном празднике, но и ценным источником вдохновения и поддержки для молодой семьи в будущем. Для большего удобства мы сделали книги на гребне, благодаря чему их можно открывать на 360 градусов. Твердые обложки с золотым тиснением идеально впишутся в свадебную атмосферу. Для идеального праздника нужна идеальная книга пожеланий!</t>
  </si>
  <si>
    <t>4670159261193</t>
  </si>
  <si>
    <t>35cff9ea15b83b212af567cbe1cbabbd</t>
  </si>
  <si>
    <t>205х200х12</t>
  </si>
  <si>
    <t>251714</t>
  </si>
  <si>
    <t>КНИГА ПОЖЕЛАНИЙ НА СВАДЬБУ. МОЛОДОЖЁНЫ</t>
  </si>
  <si>
    <t>467-0-159-26118-6</t>
  </si>
  <si>
    <t>4670159261186</t>
  </si>
  <si>
    <t>fcc9660cbb74455dadc2f6f07bc5e585</t>
  </si>
  <si>
    <t>225628</t>
  </si>
  <si>
    <t>КНИГА ПОЖЕЛАНИЙ НА СВАДЬБУ. СЕРДЦЕ</t>
  </si>
  <si>
    <t>467-0-159-13658-3</t>
  </si>
  <si>
    <t>4670159136583</t>
  </si>
  <si>
    <t>c27a8bca7378d7c8f5aa68d5643f82d1</t>
  </si>
  <si>
    <t>28.05.2024 0:00:00</t>
  </si>
  <si>
    <t>СЕРИЯ: КНИГА-ПРЕДСКАЗАТЕЛЬ мат.ламин, выб.лак 120х190</t>
  </si>
  <si>
    <t>265797</t>
  </si>
  <si>
    <t>КНИГА-ПРЕДСКАЗАТЕЛЬ. Задай вопрос - получи ответ</t>
  </si>
  <si>
    <t>467-0-159-29638-6</t>
  </si>
  <si>
    <t>У тебя есть вопрос - у этой книги есть ответ! 
Хочешь знать, что ждёт тебя завтра? А может быть, у тебя есть то, что нельзя решить при помощи логики или разума? 
Эта книга — твой личный советчик, способ узнать чуточку больше. 
• Просто задай любой вопрос, на который можно ответить «да» или «нет».
• Закрой глаза и сосредоточься. Почувствуй, как страница сама «зовёт» тебя.
Открой книгу — и вот ответ перед тобой!
Главное - верить. И не бояться задавать вопросы снова и снова!</t>
  </si>
  <si>
    <t>4670159296386</t>
  </si>
  <si>
    <t>120х190х15</t>
  </si>
  <si>
    <t>265795</t>
  </si>
  <si>
    <t>КНИГА-ПРЕДСКАЗАТЕЛЬ. Любит - не любит</t>
  </si>
  <si>
    <t>467-0-159-29637-9</t>
  </si>
  <si>
    <t>Хочешь знать, что он на самом деле чувствует?
Книга знает ответ.
Всё, что тебе нужно сделать:
1. Задай вопрос, на который можно ответить «да» или «нет».
2. Расслабься и открой книгу на любой странице.
Перед тобой появится послание — яркое, прямое, иногда удивительное.
Доверься силе книги и получи ответ, который ищешь.</t>
  </si>
  <si>
    <t>4670159296379</t>
  </si>
  <si>
    <t>СЕРИЯ: КУПОНЫ РОДИТЕЛЬСКОЙ ЩЕДРОСТИ 24 листа</t>
  </si>
  <si>
    <t>261550</t>
  </si>
  <si>
    <t>КУПОНЫ РОДИТЕЛЬСКОЙ ЩЕДРОСТИ. КРУТЫЕ ГУСИ</t>
  </si>
  <si>
    <t>467-0-159-28836-7</t>
  </si>
  <si>
    <t>Подарок, который порадует любого первоклассника, дошкольника или школьника — это купоны родительской щедрости! В этой чековой книжке из 24 купонов уже есть приятные сюрпризы: купон на поход в любимое кафе, купон на ночёвку у друзей, купон на дополнительный час за компьютером и другие. Оставшиеся купоны можно заполнить самостоятельно или дать возможность ребёнку придумать свои желания. Как работает брошюра: ребёнок выбирает желание из книжки, аккуратно отрезает купон по пунктиру, отдаёт родителю, чтобы тот исполнил написанное пожелание. Такая брошюра станет отличным дополнением к любому подарку.</t>
  </si>
  <si>
    <t>4670159288367</t>
  </si>
  <si>
    <t>b65cc99ba66b30cf017a14ae9a139bf2</t>
  </si>
  <si>
    <t>145х70х3</t>
  </si>
  <si>
    <t>261552</t>
  </si>
  <si>
    <t>КУПОНЫ РОДИТЕЛЬСКОЙ ЩЕДРОСТИ. МАЛЬЧИК И ДЕВОЧКА</t>
  </si>
  <si>
    <t>467-0-159-28837-4</t>
  </si>
  <si>
    <t>4670159288374</t>
  </si>
  <si>
    <t>eb233e8d7ea2253d5f11cd02539c987d</t>
  </si>
  <si>
    <t>СЕРИЯ: ОБЛОЖКА ДЛЯ СВИДЕТЕЛЬСТВА О ЗАКЛЮЧЕНИИ БРАКА 7БЦ, мат.ламин, выб.лак, 229х309</t>
  </si>
  <si>
    <t>263132</t>
  </si>
  <si>
    <t>ОБЛОЖКА ДЛЯ СВИДЕТЕЛЬСТВА О ЗАКЛЮЧЕНИИ БРАКА. Предложение руки и сердца</t>
  </si>
  <si>
    <t>467-0-159-29101-5</t>
  </si>
  <si>
    <t>Представляем вашему вниманию новинку, серию «Обложка свидетельства о браке».
Наш товар - надёжный способ бережно сохранить важный семейный документ на долгие годы. Большой формат позволяет не сгибать свидетельство о браке. Это стильный и практичный аксессуар выделяется высоким качеством, сочетая функциональность и привлекательный внешний вид.
Стильная обложка идеально дополнит подарочный набор для молодоженов и станет верным спутником на вашем новом семейном пути.</t>
  </si>
  <si>
    <t>4670159291015</t>
  </si>
  <si>
    <t>235х315х5</t>
  </si>
  <si>
    <t>263133</t>
  </si>
  <si>
    <t>ОБЛОЖКА ДЛЯ СВИДЕТЕЛЬСТВА О ЗАКЛЮЧЕНИИ БРАКА. Сердце в цветах</t>
  </si>
  <si>
    <t>467-0-159-29102-2</t>
  </si>
  <si>
    <t>4670159291022</t>
  </si>
  <si>
    <t>СЕРИЯ: СЛОВАРЬ ДЛЯ ЗАПИСИ ИНОСТРАННЫХ СЛОВ карт.обл. глянц.ламин. 97х139</t>
  </si>
  <si>
    <t>213707</t>
  </si>
  <si>
    <t>СЛОВАРЬ ДЛЯ ЗАПИСИ ИНОСТРАННЫХ СЛОВ. Автобус</t>
  </si>
  <si>
    <t>467-0-159-09419-7</t>
  </si>
  <si>
    <t xml:space="preserve">Изучение иностранного языка - увлекательный процесс, для которого нужно быть всегда включённым в процесс. Именно для этого мы создали серию словариков для записи иностранных слов в формате А6. Словарики «Глаза в стиле аниме» и «Девочка-аниме» подойдут для записи иероглифов, т.к. блок этих наименований расчерчен клеткой. Блоки наименований  «Мышонок» и «Автобус» - в линейку. </t>
  </si>
  <si>
    <t>4670159094197</t>
  </si>
  <si>
    <t>98х140х4</t>
  </si>
  <si>
    <t>213704</t>
  </si>
  <si>
    <t>СЛОВАРЬ ДЛЯ ЗАПИСИ ИНОСТРАННЫХ СЛОВ. Глаза в стиле аниме</t>
  </si>
  <si>
    <t>467-0-159-09417-3</t>
  </si>
  <si>
    <t>4670159094173</t>
  </si>
  <si>
    <t>213703</t>
  </si>
  <si>
    <t>СЛОВАРЬ ДЛЯ ЗАПИСИ ИНОСТРАННЫХ СЛОВ. Девочка-аниме</t>
  </si>
  <si>
    <t>467-0-159-09416-6</t>
  </si>
  <si>
    <t>4670159094166</t>
  </si>
  <si>
    <t>213706</t>
  </si>
  <si>
    <t>СЛОВАРЬ ДЛЯ ЗАПИСИ ИНОСТРАННЫХ СЛОВ. Мышонок</t>
  </si>
  <si>
    <t>467-0-159-09418-0</t>
  </si>
  <si>
    <t>4670159094180</t>
  </si>
  <si>
    <t>СЕРИЯ: СОЗДАЙ СВОЮ ИСТОРИЮ глянц.ламин, 48 стр КБС  (офсет 100гр)</t>
  </si>
  <si>
    <t>249523</t>
  </si>
  <si>
    <t>СОЗДАЙ СВОЮ ИСТОРИЮ. РАСКАДРОВКА ДЛЯ МАНГИ. Жёлтая</t>
  </si>
  <si>
    <t>978-5-378-35478-8</t>
  </si>
  <si>
    <t>Внимание всем любителям манги!Внутри этой книги вы найдёте страницы с готовой сеткой для раскадровки, советы по построению перспективы и рекомендации по рисованию персонажей. Это пособие подойдёт для начинающих мангак: научит делать раскадровку и поможет создать свою первую мангу! Возможно, её увидит весь мир! Удачи!</t>
  </si>
  <si>
    <t>9785378354788</t>
  </si>
  <si>
    <t>f546091e8a46d341c7a5bdc6e663c2ad</t>
  </si>
  <si>
    <t>195х280х5</t>
  </si>
  <si>
    <t>249525</t>
  </si>
  <si>
    <t>СОЗДАЙ СВОЮ ИСТОРИЮ. РАСКАДРОВКА ДЛЯ МАНГИ. Красная</t>
  </si>
  <si>
    <t>978-5-378-35479-5</t>
  </si>
  <si>
    <t>9785378354795</t>
  </si>
  <si>
    <t>43a149167c9a5135a0d7e2666aa94bae</t>
  </si>
  <si>
    <t>СЕРИЯ: ТЕТРАДЬ ДЛЯ ИЕРОГЛИФОВ картон.обл, глянц.ламин. 163х215</t>
  </si>
  <si>
    <t>242308</t>
  </si>
  <si>
    <t>ТЕТРАДЬ ДЛЯ ИЕРОГЛИФОВ. ДЕВУШКА В КИМОНО</t>
  </si>
  <si>
    <t>467-0-159-22129-6</t>
  </si>
  <si>
    <t>Тетради для иероглифов — идеальный инструмент для изучения и практики азиатских языков. Каждая тетрадь содержит специально разработанные страницы с сеткой, которая помогает пользователям точно воспроизводить сложные символы, улучшая навыки письма и запоминания. Формат тетради удобен для использования как в классе, так и дома, что делает её незаменимым помощником для студентов, преподавателей и всех, кто интересуется восточной культурой.</t>
  </si>
  <si>
    <t>4670159221296</t>
  </si>
  <si>
    <t>2a05814548e8cd9efde22fffad71fedd</t>
  </si>
  <si>
    <t>163х210х4</t>
  </si>
  <si>
    <t>242310</t>
  </si>
  <si>
    <t>ТЕТРАДЬ ДЛЯ ИЕРОГЛИФОВ. ДЕВУШКА С БАБЛ-ТИ</t>
  </si>
  <si>
    <t>467-0-159-22131-9</t>
  </si>
  <si>
    <t>4670159221319</t>
  </si>
  <si>
    <t>af961e8fb1b5b66d3985d8c05cf484b1</t>
  </si>
  <si>
    <t>242311</t>
  </si>
  <si>
    <t>ТЕТРАДЬ ДЛЯ ИЕРОГЛИФОВ. РАМЕН</t>
  </si>
  <si>
    <t>467-0-159-22132-6</t>
  </si>
  <si>
    <t>4670159221326</t>
  </si>
  <si>
    <t>6abca0489d68366e60f033bece503999</t>
  </si>
  <si>
    <t>242313</t>
  </si>
  <si>
    <t>ТЕТРАДЬ ДЛЯ ИЕРОГЛИФОВ. РЕКА В КИТАЕ</t>
  </si>
  <si>
    <t>467-0-159-22130-2</t>
  </si>
  <si>
    <t>4670159221302</t>
  </si>
  <si>
    <t>8c96c4457f22c283cfa42980abb5723e</t>
  </si>
  <si>
    <t xml:space="preserve">СЕРИЯ: ТЕТРАДЬ ДЛЯ НОТ  А4 16 листов </t>
  </si>
  <si>
    <t>091620</t>
  </si>
  <si>
    <t>ТЕТРАДЬ ДЛЯ НОТ  А4. 16 листов. ГИТАРА</t>
  </si>
  <si>
    <t>466-5-303-52921-2</t>
  </si>
  <si>
    <t>Новая серия тетрадей для нот имеет привлекательный дизайн и удобный формат, которые придутся по вкусу ученикам музыкальных школ, студентам и преподавателям. На оборотах обложек содержатся справочные материалы, которые будут полезны для начинающих музыкантов.</t>
  </si>
  <si>
    <t>4665303529212</t>
  </si>
  <si>
    <t>Тетради для нот</t>
  </si>
  <si>
    <t>195х275х1</t>
  </si>
  <si>
    <t>224766</t>
  </si>
  <si>
    <t>ТЕТРАДЬ ДЛЯ НОТ  А4. 16 листов. ДЕВУШКА С ГИТАРОЙ</t>
  </si>
  <si>
    <t>467-0-159-15105-0</t>
  </si>
  <si>
    <t>4670159151050</t>
  </si>
  <si>
    <t>224767</t>
  </si>
  <si>
    <t>ТЕТРАДЬ ДЛЯ НОТ  А4. 16 листов. ДЕВУШКА С МИКРОФОНОМ</t>
  </si>
  <si>
    <t>467-0-159-15106-7</t>
  </si>
  <si>
    <t>4670159151067</t>
  </si>
  <si>
    <t>224763</t>
  </si>
  <si>
    <t>ТЕТРАДЬ ДЛЯ НОТ  А4. 16 листов. ДЕВУШКА СО СКРИПКОЙ</t>
  </si>
  <si>
    <t>467-0-159-14958-3</t>
  </si>
  <si>
    <t>4670159149583</t>
  </si>
  <si>
    <t>224764</t>
  </si>
  <si>
    <t>ТЕТРАДЬ ДЛЯ НОТ  А4. 16 листов. КОТИК С ВИОЛОНЧЕЛЬЮ</t>
  </si>
  <si>
    <t>467-0-159-14959-0</t>
  </si>
  <si>
    <t>4670159149590</t>
  </si>
  <si>
    <t>091618</t>
  </si>
  <si>
    <t>ТЕТРАДЬ ДЛЯ НОТ  А4. 16 листов. ТРУБА</t>
  </si>
  <si>
    <t>466-5-303-52920-5</t>
  </si>
  <si>
    <t>4665303529205</t>
  </si>
  <si>
    <t xml:space="preserve">СЕРИЯ: ТЕТРАДЬ ДЛЯ НОТ  А5 16 листов </t>
  </si>
  <si>
    <t>224758</t>
  </si>
  <si>
    <t>ТЕТРАДЬ ДЛЯ НОТ  А5. АНИМЕ-ДЕВОЧКА</t>
  </si>
  <si>
    <t>467-0-159-15102-9</t>
  </si>
  <si>
    <t>Новая серия нотных тетрадей сделает уроки музыки ещё приятнее благодаря привлекательным обложкам и удобному формату! На оборотах обложек есть справочная информация. которая пригодится самым юным музыкантам.</t>
  </si>
  <si>
    <t>4670159151029</t>
  </si>
  <si>
    <t>162х210х1</t>
  </si>
  <si>
    <t>224757</t>
  </si>
  <si>
    <t>ТЕТРАДЬ ДЛЯ НОТ  А5. КОРГИ С БАРАБАНАМИ</t>
  </si>
  <si>
    <t>467-0-159-15103-6</t>
  </si>
  <si>
    <t>4670159151036</t>
  </si>
  <si>
    <t>224759</t>
  </si>
  <si>
    <t>ТЕТРАДЬ ДЛЯ НОТ  А5. МУЗЫКАЛЬНЫЕ КОТЫ</t>
  </si>
  <si>
    <t>467-0-159-15101-2</t>
  </si>
  <si>
    <t>4670159151012</t>
  </si>
  <si>
    <t>224760</t>
  </si>
  <si>
    <t>ТЕТРАДЬ ДЛЯ НОТ  А5. МУЗЫКАЛЬНЫЙ КЛАСС</t>
  </si>
  <si>
    <t>467-0-159-15104-3</t>
  </si>
  <si>
    <t>4670159151043</t>
  </si>
  <si>
    <t>110565</t>
  </si>
  <si>
    <t>ТЕТРАДЬ ДЛЯ НОТ  А5. РОЯЛЬ</t>
  </si>
  <si>
    <t>466-5-306-16212-6</t>
  </si>
  <si>
    <t>4665306162126</t>
  </si>
  <si>
    <t>6. TВОРЧЕСТВО, БРОШЮРЫ, ПОСОБИЯ</t>
  </si>
  <si>
    <t>АППЛИКАЦИИ, ВЫРЕЗАЛКИ</t>
  </si>
  <si>
    <t>CЕРИЯ: AППЛИКАЦИИ ДЛЯ МАЛЫШЕЙ А4 мелов. бум.+ цветной шаблон вклейки 200х285</t>
  </si>
  <si>
    <t>031108</t>
  </si>
  <si>
    <t>Аппликация А4 ДЛЯ МАЛЫШЕЙ. ДЛЯ МАЛЬЧИКОВ</t>
  </si>
  <si>
    <t>978-5-378-24393-8</t>
  </si>
  <si>
    <t>Заниматься творчеством-легко!Ваш малыш сможет сам сделать замечательную аппликацию, используя ножницы, клей и эти красочные наборы. Немного старания - и прекрасная поделка готова!</t>
  </si>
  <si>
    <t>9785378243938</t>
  </si>
  <si>
    <t>04.04.2018 0:00:00</t>
  </si>
  <si>
    <t>Подлежит маркировке ЧЗ Игрушки с 1 декабря 2025</t>
  </si>
  <si>
    <t>Аппликации,объёмные модели</t>
  </si>
  <si>
    <t>200х285х1</t>
  </si>
  <si>
    <t>031112</t>
  </si>
  <si>
    <t>Аппликация А4 ДЛЯ МАЛЫШЕЙ. ЛЮБИМЫЕ ЖИВОТНЫЕ</t>
  </si>
  <si>
    <t>978-5-378-24394-5</t>
  </si>
  <si>
    <t>9785378243945</t>
  </si>
  <si>
    <t>031113</t>
  </si>
  <si>
    <t>Аппликация А4 ДЛЯ МАЛЫШЕЙ. ЦВЕТНЫЕ КАРТИНКИ</t>
  </si>
  <si>
    <t>978-5-378-24398-3</t>
  </si>
  <si>
    <t>9785378243983</t>
  </si>
  <si>
    <t>CЕРИЯ: БУМАЖНЫЕ ЖИВОТНЫЕ картон.обл, глянц.ламин.197х275</t>
  </si>
  <si>
    <t>268527</t>
  </si>
  <si>
    <t>БУМАЖНЫЕ ЖИВОТНЫЕ. КОШКИ ИЗ БУМАГИ</t>
  </si>
  <si>
    <t>978-5-378-35956-1</t>
  </si>
  <si>
    <t>Погрузитесь в мир творчества с новинками серии "Бумажные животные".В каждой брошюре 32 страницы.
В одной брошюре вас ждут 16 очаровательных собак, а в другой — 16 милейших котиков. Это настоящий хит интернета: сотни тысяч детей и взрослых уже коллекционируют бумажных питомцев. Внутри — готовые схемы, лакомства и аксессуары. Раскрась, вырежи и создай свой уникальный мир!</t>
  </si>
  <si>
    <t>9785378359561</t>
  </si>
  <si>
    <t>472b6f6a787cabda93f32bb12609649a</t>
  </si>
  <si>
    <t>268528</t>
  </si>
  <si>
    <t>БУМАЖНЫЕ ЖИВОТНЫЕ. СОБАКИ ИЗ БУМАГИ</t>
  </si>
  <si>
    <t>978-5-378-35957-8</t>
  </si>
  <si>
    <t>9785378359578</t>
  </si>
  <si>
    <t>3074813eaa2ef1507de7f446b27e37a3</t>
  </si>
  <si>
    <t>CЕРИЯ: БУМАЖНЫЕ КУКОЛКИ картон.обл, глянц.ламин.164х240</t>
  </si>
  <si>
    <t>249531</t>
  </si>
  <si>
    <t>БУМАЖНЫЕ КУКОЛКИ. АНИМЕ МОДНИЦЫ</t>
  </si>
  <si>
    <t>978-5-378-35509-9</t>
  </si>
  <si>
    <t>Бумажные куколки - это находка для маленьких модниц! В комплекте идут целых две куклы, которые ребенок сможет наряжать по своему вкусу. Самое приятное - вся одежда двусторонняя, а это значит, что комплектов стало в 4 раза больше! Благодаря удобному формату брошюру можно взять с собой в путешествие, она не займет много места, зато ваша малышка весело проведет время и точно не будет скучать!</t>
  </si>
  <si>
    <t>9785378355099</t>
  </si>
  <si>
    <t>165х240х3</t>
  </si>
  <si>
    <t>CЕРИЯ: ВЕСЁЛЫЕ АППЛИКАЦИИ  с цветной бумагой, карт.обл. 215х215</t>
  </si>
  <si>
    <t>139065</t>
  </si>
  <si>
    <t>ВЕСЁЛЫЕ АППЛИКАЦИИ с цветной бумагой. ДЛЯ ДЕВОЧЕК</t>
  </si>
  <si>
    <t>978-5-378-30624-4</t>
  </si>
  <si>
    <t>Новая серия развивающих брошюр с добрыми, чудесными иллюстрациями увлечёт малыша и поможет ему проявить фантазию! Кроме деталей персонажей и картинок, он сможет дополнить аппликацию цветной бумагой, которая входит в комплект каждой брошюры.</t>
  </si>
  <si>
    <t>9785378306244</t>
  </si>
  <si>
    <t>215х215х2</t>
  </si>
  <si>
    <t>139069</t>
  </si>
  <si>
    <t>ВЕСЁЛЫЕ АППЛИКАЦИИ с цветной бумагой. ДЛЯ МАЛЬЧИКОВ</t>
  </si>
  <si>
    <t>978-5-378-30626-8</t>
  </si>
  <si>
    <t>9785378306268</t>
  </si>
  <si>
    <t xml:space="preserve">CЕРИЯ: ВЫРЕЖИ КУКЛУ АНИМЕ А4 мел.карт. 195х275 </t>
  </si>
  <si>
    <t>181644</t>
  </si>
  <si>
    <t>ВЫРЕЖИ КУКЛУ АНИМЕ. АНИМЕ КУКОЛКИ. ВЫРЕЖИ И ОДЕНЬ!</t>
  </si>
  <si>
    <t>462-0-129-72680-1</t>
  </si>
  <si>
    <t>Эта серия понравится любительницам аниме всех возрастов! В брошюре есть две куколки, нарисованные в стиле аниме, а также очень много одежды для того, чтобы их нарядить! Куколок и одежду нужно аккуратно вырезать, после чего можно приступать к игре. Это занятие прекрасно развивает мелкую моторику, воображение и будет классным вариантом для проведения досуга.</t>
  </si>
  <si>
    <t>4620129726801</t>
  </si>
  <si>
    <t>181643</t>
  </si>
  <si>
    <t>ВЫРЕЖИ КУКЛУ АНИМЕ. АНИМЕ КУКОЛКИ. НАРЯДИ МЕНЯ</t>
  </si>
  <si>
    <t>462-0-129-72678-8</t>
  </si>
  <si>
    <t>4620129726788</t>
  </si>
  <si>
    <t>181646</t>
  </si>
  <si>
    <t>ВЫРЕЖИ КУКЛУ АНИМЕ. БУМАЖНЫЕ КУКОЛКИ. В СТИЛЕ АНИМЕ</t>
  </si>
  <si>
    <t>462-0-129-72681-8</t>
  </si>
  <si>
    <t>4620129726818</t>
  </si>
  <si>
    <t>181645</t>
  </si>
  <si>
    <t>ВЫРЕЖИ КУКЛУ АНИМЕ. МАЛЫШКИ</t>
  </si>
  <si>
    <t>462-0-129-72679-5</t>
  </si>
  <si>
    <t>4620129726795</t>
  </si>
  <si>
    <t>CЕРИЯ: ВЫРЕЗАЛКИ С НОЖНИЦАМИ В КОМПЛЕКТЕ картон целл.обл 195х276</t>
  </si>
  <si>
    <t>245181</t>
  </si>
  <si>
    <t>ВЫРЕЗАЛКИ С НОЖНИЦАМИ В КОМПЛЕКТЕ. ДЛЯ ДЕВОЧЕК</t>
  </si>
  <si>
    <t>978-5-378-35345-3</t>
  </si>
  <si>
    <t>Представляем новинку для творчества: вырезалки с безопасными ножницами! Внутри брошюры вы найдете 12 поделок, которые можно вырезать и склеить самостоятельно. Каждая поделка дополнена подробной инструкцией. В комплекте к брошюре вложены безопасные ножницы, которые режут только картон и бумагу.</t>
  </si>
  <si>
    <t>9785378353453</t>
  </si>
  <si>
    <t>541369ac76b015b52ec65e26790344aa</t>
  </si>
  <si>
    <t>210х275х10</t>
  </si>
  <si>
    <t>245179</t>
  </si>
  <si>
    <t>ВЫРЕЗАЛКИ С НОЖНИЦАМИ В КОМПЛЕКТЕ. ДЛЯ МАЛЬЧИКОВ</t>
  </si>
  <si>
    <t>978-5-378-35344-6</t>
  </si>
  <si>
    <t>9785378353446</t>
  </si>
  <si>
    <t>245184</t>
  </si>
  <si>
    <t>ВЫРЕЗАЛКИ С НОЖНИЦАМИ В КОМПЛЕКТЕ. ДЛЯ САМЫХ МАЛЕНЬКИХ</t>
  </si>
  <si>
    <t>978-5-378-35346-0</t>
  </si>
  <si>
    <t>9785378353460</t>
  </si>
  <si>
    <t>245185</t>
  </si>
  <si>
    <t>ВЫРЕЗАЛКИ С НОЖНИЦАМИ В КОМПЛЕКТЕ. ЖИВОТНЫЕ</t>
  </si>
  <si>
    <t>978-5-378-35347-7</t>
  </si>
  <si>
    <t>9785378353477</t>
  </si>
  <si>
    <t>CЕРИЯ: ВЫРЕЗАЛКИ-НАРЯЖАЛКИ 195х276</t>
  </si>
  <si>
    <t>153270</t>
  </si>
  <si>
    <t>ВЫРЕЗАЛКА-НАРЯЖАЛКА. БЕЛОСНЕЖКА И ПРИНЦ</t>
  </si>
  <si>
    <t>978-5-378-31108-8</t>
  </si>
  <si>
    <t>Все девочки - модницы и любительницы красивых нарядов. Малышка по достоинству оценит эти наборы для творчества, ведь с ними так интересно играть, подбирая для кукол роскошные платья! Это увлекательное занятие прекрасно развивает фантазию и мелкую моторику.</t>
  </si>
  <si>
    <t>9785378311088</t>
  </si>
  <si>
    <t>153266</t>
  </si>
  <si>
    <t>ВЫРЕЗАЛКА-НАРЯЖАЛКА. ЛЮБИМАЯ ПРИНЦЕССА</t>
  </si>
  <si>
    <t>978-5-378-31104-0</t>
  </si>
  <si>
    <t>9785378311040</t>
  </si>
  <si>
    <t>CЕРИЯ: ЛЕПИМ ИЗ ПЛАСТИЛИНА глянц ламин, картон 200х296</t>
  </si>
  <si>
    <t>230509</t>
  </si>
  <si>
    <t>ЛЕПИМ ИЗ ПЛАСТИЛИНА. ДЛЯ ДЕВОЧЕК</t>
  </si>
  <si>
    <t>978-5-378-34805-3</t>
  </si>
  <si>
    <t>Многоразовая тетрадь «Лепим из пластилина» – это увлекательные задания для малышей, направленные на развитие мелкой моторики, координации движений и фантазии. Благодаря плотным ламинированным страницам пластилин можно аккуратно убрать и делать аппликации снова и снова!
Пластилин в комплект не входит!</t>
  </si>
  <si>
    <t>9785378348053</t>
  </si>
  <si>
    <t>05.08.2024 0:00:00</t>
  </si>
  <si>
    <t>204x296x4</t>
  </si>
  <si>
    <t>230510</t>
  </si>
  <si>
    <t>ЛЕПИМ ИЗ ПЛАСТИЛИНА. ДЛЯ МАЛЬЧИКОВ</t>
  </si>
  <si>
    <t>978-5-378-34806-0</t>
  </si>
  <si>
    <t>9785378348060</t>
  </si>
  <si>
    <t>CЕРИЯ: ЛЕПИМ С МАЛЫШАМИ глянц ламин. 195х276</t>
  </si>
  <si>
    <t>185436</t>
  </si>
  <si>
    <t>ЛЕПИМ С МАЛЫШАМИ. ЖИВОТНЫЕ</t>
  </si>
  <si>
    <t>978-5-378-33628-9</t>
  </si>
  <si>
    <t>Новая серия «Лепим с малышами» соберёт за увлекательным занятием всю семью. Вместе с Пластилинкой вы сможете создать ярких интересных персонажей для игры. Весёлые животные, аппетитные сладости, забавные чудики и многое другое ждут вас на страницах красочных брошюр.</t>
  </si>
  <si>
    <t>9785378336289</t>
  </si>
  <si>
    <t>185437</t>
  </si>
  <si>
    <t>ЛЕПИМ С МАЛЫШАМИ. СЛАДКИЕ ИСТОРИИ</t>
  </si>
  <si>
    <t>978-5-378-33629-6</t>
  </si>
  <si>
    <t>9785378336296</t>
  </si>
  <si>
    <t>CЕРИЯ: МОИ ПЕРВЫЕ ВЫРЕЗАЛКИ мелов.обл. 163х215</t>
  </si>
  <si>
    <t>236309</t>
  </si>
  <si>
    <t>МОИ ПЕРВЫЕ ВЫРЕЗАЛКИ. ВЕСЁЛЫЕ КАРТИНКИ</t>
  </si>
  <si>
    <t>978-5-378-34863-3</t>
  </si>
  <si>
    <t>Пособие «Мои первые вырезалки» не только научит ребёнка работать с ножницами, но и разовьёт мелкую моторику, речь, усидчивость. В процессе занятий ребёнок изучит цвета и геометрические фигуры, названия предметов и животных. Брошюра выполнена в удобном формате А5 на качественной бумаге с яркой печатью иллюстраций. Задания построены от простого к сложному. Ребёнок постепенно учится резать по линиям, потом вырезать простые фигуры и в завершении — предметы по контуру.</t>
  </si>
  <si>
    <t>9785378348633</t>
  </si>
  <si>
    <t>83af2ac9574dd8e20bae0209aebb1109</t>
  </si>
  <si>
    <t>165x215x2</t>
  </si>
  <si>
    <t>236310</t>
  </si>
  <si>
    <t>МОИ ПЕРВЫЕ ВЫРЕЗАЛКИ. ДЛЯ ДЕВОЧЕК</t>
  </si>
  <si>
    <t>978-5-378-34864-0</t>
  </si>
  <si>
    <t>9785378348640</t>
  </si>
  <si>
    <t>a4d40717a49c6219adb66fe5aa1fb0b4</t>
  </si>
  <si>
    <t>236311</t>
  </si>
  <si>
    <t>МОИ ПЕРВЫЕ ВЫРЕЗАЛКИ. ДЛЯ МАЛЬЧИКОВ</t>
  </si>
  <si>
    <t>978-5-378-34865-7</t>
  </si>
  <si>
    <t>9785378348657</t>
  </si>
  <si>
    <t>8792d46edd88afc0451c30e5873fe32a</t>
  </si>
  <si>
    <t>236312</t>
  </si>
  <si>
    <t>МОИ ПЕРВЫЕ ВЫРЕЗАЛКИ. ЦВЕТНЫЕ КАРТИНКИ</t>
  </si>
  <si>
    <t>978-5-378-34866-4</t>
  </si>
  <si>
    <t>9785378348664</t>
  </si>
  <si>
    <t>bb01d1dbe11264bd25f17754c33e3e49</t>
  </si>
  <si>
    <t>CЕРИЯ: ПОДЕЛКИ ИЗ БУМАГИ глянц.ламин.обл.210х298</t>
  </si>
  <si>
    <t>240180</t>
  </si>
  <si>
    <t>ПОДЕЛКИ ИЗ БУМАГИ. АНИМЕ. БУМАЖНЫЕ ФИГУРКИ</t>
  </si>
  <si>
    <t>467-0-159-22105-0</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</si>
  <si>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</si>
  <si>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4670159221050</t>
  </si>
  <si>
    <t>1cf6bd187e52f562ab0b463cb4e50290</t>
  </si>
  <si>
    <t>28.01.2025 0:00:00</t>
  </si>
  <si>
    <t>210х297х3</t>
  </si>
  <si>
    <t>240182</t>
  </si>
  <si>
    <t>ПОДЕЛКИ ИЗ БУМАГИ. БУМАЖНЫЕ ФИГУРКИ. ЛЮБИМЫЕ ПИКСЕЛЬНЫЕ ГЕРОИ</t>
  </si>
  <si>
    <t>467-0-159-22106-7</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</si>
  <si>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</si>
  <si>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4670159221067</t>
  </si>
  <si>
    <t>210x298x3</t>
  </si>
  <si>
    <t>БРОШЮРЫ</t>
  </si>
  <si>
    <t>СЕРИЯ: КОРНЕЙ ЧУКОВСКИЙ - ДЕТЯМ глянц.ламин. 195х195</t>
  </si>
  <si>
    <t>249534</t>
  </si>
  <si>
    <t>КОРНЕЙ ЧУКОВСКИЙ - ДЕТЯМ. Айболит</t>
  </si>
  <si>
    <t>978-5-378-35470-2</t>
  </si>
  <si>
    <t>Погрузитесь в увлекательный мир детских сказок классика русской литературы вместе с серией Корней Чуковский - детям! Это собрание книг включает такие известные произведения, как «Айболит», «Мойдодыр», «Бармалей», «Муха-Цокотуха» и другие истории автора. Яркие и красочные иллюстрации оживляют каждую страницу, делая чтение еще интереснее. Издание выполнено в удобном квадратном формате на качественной глянцевой мелованной бумаге, что делает книгу идеальной для подарка юному читателю.</t>
  </si>
  <si>
    <t>9785378354702</t>
  </si>
  <si>
    <t>Чуковский Корней Иванович</t>
  </si>
  <si>
    <t>dbd95e6cf6f86e9f10b8604061f7ffd0</t>
  </si>
  <si>
    <t>195х195х1</t>
  </si>
  <si>
    <t>249535</t>
  </si>
  <si>
    <t>КОРНЕЙ ЧУКОВСКИЙ - ДЕТЯМ. Бармалей</t>
  </si>
  <si>
    <t>978-5-378-35471-9</t>
  </si>
  <si>
    <t>9785378354719</t>
  </si>
  <si>
    <t>132c838da9e474c6ab9556bf15ec848e</t>
  </si>
  <si>
    <t>249539</t>
  </si>
  <si>
    <t>КОРНЕЙ ЧУКОВСКИЙ - ДЕТЯМ. Мойдодыр</t>
  </si>
  <si>
    <t>978-5-378-35477-1</t>
  </si>
  <si>
    <t>9785378354771</t>
  </si>
  <si>
    <t>3dac3b413fa1c635155b284a97b837d5</t>
  </si>
  <si>
    <t>249537</t>
  </si>
  <si>
    <t>КОРНЕЙ ЧУКОВСКИЙ - ДЕТЯМ. Муха-Цокотуха</t>
  </si>
  <si>
    <t>978-5-378-35473-3</t>
  </si>
  <si>
    <t>9785378354733</t>
  </si>
  <si>
    <t>ebaeb0a2d726b7b52aed9329c7f0967f</t>
  </si>
  <si>
    <t>249540</t>
  </si>
  <si>
    <t>КОРНЕЙ ЧУКОВСКИЙ - ДЕТЯМ. Путаница</t>
  </si>
  <si>
    <t>978-5-378-35475-7</t>
  </si>
  <si>
    <t>9785378354757</t>
  </si>
  <si>
    <t>1a8df6d6fb659797866db4da32ae3080</t>
  </si>
  <si>
    <t>249538</t>
  </si>
  <si>
    <t>КОРНЕЙ ЧУКОВСКИЙ - ДЕТЯМ. Тараканище</t>
  </si>
  <si>
    <t>978-5-378-35476-4</t>
  </si>
  <si>
    <t>9785378354764</t>
  </si>
  <si>
    <t>8dd8c796fb2d3ebe53ba59669d0b2c7d</t>
  </si>
  <si>
    <t>249541</t>
  </si>
  <si>
    <t>КОРНЕЙ ЧУКОВСКИЙ - ДЕТЯМ. Телефон</t>
  </si>
  <si>
    <t>978-5-378-35474-0</t>
  </si>
  <si>
    <t>9785378354740</t>
  </si>
  <si>
    <t>54dd8c90a0b3f8e6a35b917a53190291</t>
  </si>
  <si>
    <t>249536</t>
  </si>
  <si>
    <t>КОРНЕЙ ЧУКОВСКИЙ - ДЕТЯМ. Федорино горе</t>
  </si>
  <si>
    <t>978-5-378-35472-6</t>
  </si>
  <si>
    <t>9785378354726</t>
  </si>
  <si>
    <t>4e8ad7dd3cf3a10efc05192771f844f9</t>
  </si>
  <si>
    <t>СЕРИЯ: МИР СКАЗОК глянц.ламин, мелов.бум 165х240</t>
  </si>
  <si>
    <t>158992</t>
  </si>
  <si>
    <t>МИР СКАЗОК. ВИЛЬГЕЛЬМ ГАУФ. МАЛЕНЬКИЙ МУК</t>
  </si>
  <si>
    <t>978-5-378-31523-9</t>
  </si>
  <si>
    <t>Сказка «Маленький Мук» наполнена глубоким смыслом, её необходимо прочитать каждому ребёнку. Она обратит внимание малышей на то, что нельзя судить о человеке только по его внешности или положению в обществе, расскажет о том, что добро всегда побеждает зло, а жадность и зависть — одни из главных пороков человека. Иллюстрации в книге яркие, красочные, их очень интересно рассматривать. Они обязательно привлекут внимание и заинтересуют самых маленьких читателей!</t>
  </si>
  <si>
    <t>9785378315239</t>
  </si>
  <si>
    <t>Гауф Вильгельм</t>
  </si>
  <si>
    <t>СЕРИЯ: МОИ ПЕРВЫЕ СЛОВА мелов.бумага 210х260</t>
  </si>
  <si>
    <t>263130</t>
  </si>
  <si>
    <t>МОИ ПЕРВЫЕ СЛОВА. Животные</t>
  </si>
  <si>
    <t>978-5-378-35822-9</t>
  </si>
  <si>
    <t>Что, если первая книга станет настоящим открытием мира для вашего малыша?
В книгах серии собраны яркие фотографии животных, фруктов и овощей, машин, поездов и самолётов, а также задания на различение цветов и форм. Каждая страница — это крупное, чёткое изображение и простое слово, которое легко запомнить даже самому маленькому читателю.
Серия создана специально для детей 1–3 лет: большой формат (210×260 мм) позволяет рассматривать детали, плотные страницы удобно листать, а сочные цвета удерживают внимание.
Откройте книгу прямо сейчас — и начните говорить, показывать, узнавать вместе!</t>
  </si>
  <si>
    <t>9785378358229</t>
  </si>
  <si>
    <t>82e3342d0dad9e6164e1b0808904109a</t>
  </si>
  <si>
    <t>210х260х2</t>
  </si>
  <si>
    <t>263128</t>
  </si>
  <si>
    <t>МОИ ПЕРВЫЕ СЛОВА. Овощи, фрукты и другие продукты</t>
  </si>
  <si>
    <t>978-5-378-35823-6</t>
  </si>
  <si>
    <t>9785378358236</t>
  </si>
  <si>
    <t>f4b1681f400642b8b7af9a595dcf4de3</t>
  </si>
  <si>
    <t>263127</t>
  </si>
  <si>
    <t>МОИ ПЕРВЫЕ СЛОВА. Транспорт</t>
  </si>
  <si>
    <t>978-5-378-35824-3</t>
  </si>
  <si>
    <t>9785378358243</t>
  </si>
  <si>
    <t>920f056875f783b87898a08aa925c8a7</t>
  </si>
  <si>
    <t>263129</t>
  </si>
  <si>
    <t>МОИ ПЕРВЫЕ СЛОВА. Формы и цвета</t>
  </si>
  <si>
    <t>978-5-378-35825-0</t>
  </si>
  <si>
    <t>9785378358250</t>
  </si>
  <si>
    <t>ac045c7f227e5974ab7bc5d5d4a4034d</t>
  </si>
  <si>
    <t>КНИЖКИ С НАКЛЕЙКАМИ</t>
  </si>
  <si>
    <t>СЕРИЯ: БОЛЬШИЕ КРУЖОЧКИ 195х276</t>
  </si>
  <si>
    <t>260243</t>
  </si>
  <si>
    <t>БОЛЬШИЕ КРУЖОЧКИ. ДОМАШНИЕ ЖИВОТНЫЕ</t>
  </si>
  <si>
    <t>978-5-378-35732-1</t>
  </si>
  <si>
    <t>Серия «Большие кружочки» — первый шаг к логике и знаниям! В каждой брошюре 26 больших наклеек-кружочков. Ребёнок должен правильно расположить их на картинках, что помогает развить не только его мелкую моторику, но также и логическое мышление, внимание и усидчивость. Играя, ребёнок легко и естественно запоминает новые понятия, названия животных, цвета и многое другое. «Большие кружочки» идеально подходит для дома, поездок и занятий в дороге. Подарите своему ребёнку полезный досуг, который принесёт ему море удовольствия и реальную пользу!</t>
  </si>
  <si>
    <t>9785378357321</t>
  </si>
  <si>
    <t>070a03a831998bd431f1c1f425819220</t>
  </si>
  <si>
    <t>195х276х1</t>
  </si>
  <si>
    <t>260245</t>
  </si>
  <si>
    <t>БОЛЬШИЕ КРУЖОЧКИ. КТО ЧТО ЕСТ?</t>
  </si>
  <si>
    <t>978-5-378-35730-7</t>
  </si>
  <si>
    <t>9785378357307</t>
  </si>
  <si>
    <t>3665166ccd2a995f8c0b95f033be3d49</t>
  </si>
  <si>
    <t>260241</t>
  </si>
  <si>
    <t>БОЛЬШИЕ КРУЖОЧКИ. МАМА И МАЛЫШ</t>
  </si>
  <si>
    <t>978-5-378-35731-4</t>
  </si>
  <si>
    <t>9785378357314</t>
  </si>
  <si>
    <t>840dfbbc6515f34bd121c35f35c06c52</t>
  </si>
  <si>
    <t>260239</t>
  </si>
  <si>
    <t>БОЛЬШИЕ КРУЖОЧКИ. НАЙДИ ЦВЕТ</t>
  </si>
  <si>
    <t>978-5-378-35733-8</t>
  </si>
  <si>
    <t>9785378357338</t>
  </si>
  <si>
    <t>15f97b7fc108d3440eb6a0130f4265d4</t>
  </si>
  <si>
    <t>СЕРИЯ: ВЕСЁЛЫЙ КОНСТРУКТОР с наклейками, картон.обл. 165х240</t>
  </si>
  <si>
    <t>186479</t>
  </si>
  <si>
    <t>ВЕСЁЛЫЙ КОНСТРУКТОР с наклейками. ДЛЯ МАЛЬЧИКОВ</t>
  </si>
  <si>
    <t>978-5-378-33737-8</t>
  </si>
  <si>
    <t>Посмотри на эти яркие картинки! Милым персонажам на них чего-то не хватает. Угадай, какую деталь нужно добавить, найди ее на листе с наклейками и приклей. Новая серия «Весёлый конструктор» — это увлекательная игра для малышей, которая развивает воображение, внимание, мелкую моторику и позволяет с пользой провести время.</t>
  </si>
  <si>
    <t>9785378337378</t>
  </si>
  <si>
    <t>186480</t>
  </si>
  <si>
    <t>ВЕСЁЛЫЙ КОНСТРУКТОР с наклейками. ЕДЕМ - ЕДЕМ</t>
  </si>
  <si>
    <t>978-5-378-33738-5</t>
  </si>
  <si>
    <t>9785378337385</t>
  </si>
  <si>
    <t>СЕРИЯ: ИГРЫ с наклейками А5, карт.обл. 164х224</t>
  </si>
  <si>
    <t>173165</t>
  </si>
  <si>
    <t>ИГРЫ с наклейками А5. МОЯ СЕМЬЯ</t>
  </si>
  <si>
    <t>978-5-378-32406-4</t>
  </si>
  <si>
    <t>Брошюры с красочными картинками, которые нужно дополнять наклейками, станут отличным подарком для малыша! Играя, он сможет быстрее выучить слова, развить внимательность и логическое мышление.</t>
  </si>
  <si>
    <t>9785378324064</t>
  </si>
  <si>
    <t>164х224х2</t>
  </si>
  <si>
    <t>173166</t>
  </si>
  <si>
    <t>ИГРЫ с наклейками А5. ПРОГУЛКА</t>
  </si>
  <si>
    <t>978-5-378-32407-1</t>
  </si>
  <si>
    <t>9785378324071</t>
  </si>
  <si>
    <t>216213</t>
  </si>
  <si>
    <t>ИГРЫ с наклейками А5. ТРАНСПОРТ</t>
  </si>
  <si>
    <t>978-5-378-34516-8</t>
  </si>
  <si>
    <t>9785378345168</t>
  </si>
  <si>
    <t>47f6b2edf4fd2f75f701f41b10d2b0a4</t>
  </si>
  <si>
    <t>173167</t>
  </si>
  <si>
    <t>ИГРЫ с наклейками А5. ФЕРМА</t>
  </si>
  <si>
    <t>978-5-378-32408-8</t>
  </si>
  <si>
    <t>9785378324088</t>
  </si>
  <si>
    <t>СЕРИЯ: КРУЖОЧКИ А4 с наклейками 195х276</t>
  </si>
  <si>
    <t>162107</t>
  </si>
  <si>
    <t>КРУЖОЧКИ А4 с наклейками. ДЛЯ ДЕВОЧЕК</t>
  </si>
  <si>
    <t>978-5-378-31742-4</t>
  </si>
  <si>
    <t>Новая серия "Кружочки" поможет малышу увлекательно и с пользой провести время! На каждой страничке его ждут красочные картинки и весёлые задания по приклеиванию кружочков. Это занятие надолго увлечёт ребёнка! Работа с книгой поможет развить пространственное мышление, мелкую моторику рук, воображение и аккуратность.</t>
  </si>
  <si>
    <t>9785378317424</t>
  </si>
  <si>
    <t>162105</t>
  </si>
  <si>
    <t>КРУЖОЧКИ А4 с наклейками. ДЛЯ МАЛЬЧИКОВ</t>
  </si>
  <si>
    <t>978-5-378-31741-7</t>
  </si>
  <si>
    <t>9785378317417</t>
  </si>
  <si>
    <t>162099</t>
  </si>
  <si>
    <t>КРУЖОЧКИ А4 с наклейками. ЗВЕРЯТА</t>
  </si>
  <si>
    <t>978-5-378-31739-4</t>
  </si>
  <si>
    <t>9785378317394</t>
  </si>
  <si>
    <t>162102</t>
  </si>
  <si>
    <t>КРУЖОЧКИ А4 с наклейками. ОКРУЖАЮЩИЙ МИР</t>
  </si>
  <si>
    <t>978-5-378-31740-0</t>
  </si>
  <si>
    <t>9785378317400</t>
  </si>
  <si>
    <t>СЕРИЯ: НАКЛЕЙ КРУЖОЧКИ  А5 160х210</t>
  </si>
  <si>
    <t>190136</t>
  </si>
  <si>
    <t>НАКЛЕЙ КРУЖОЧКИ. ВЕСЁЛЫЕ ЗВЕРЯТА</t>
  </si>
  <si>
    <t>978-5-378-33901-3</t>
  </si>
  <si>
    <t>Весёлые герои брошюр с наклейками никому не дадут заскучать. Вместе с ними малыш побывает на арене цирка, прогуляется по берегу речки и по цветочной поляне. Простые и увлекательные задания с наклейками-кружочками направлены не только на развитие мелкой моторики и творческого мышления, но и на изучение цветов.</t>
  </si>
  <si>
    <t>9785378339013</t>
  </si>
  <si>
    <t>1a161df8910191843628fbb0d3e72739</t>
  </si>
  <si>
    <t>160х210х2</t>
  </si>
  <si>
    <t>146969</t>
  </si>
  <si>
    <t>НАКЛЕЙ КРУЖОЧКИ. ДЛЯ ДЕВОЧЕК</t>
  </si>
  <si>
    <t>978-5-378-30906-1</t>
  </si>
  <si>
    <t>9785378309061</t>
  </si>
  <si>
    <t>146970</t>
  </si>
  <si>
    <t>НАКЛЕЙ КРУЖОЧКИ. ДЛЯ МАЛЬЧИКОВ</t>
  </si>
  <si>
    <t>978-5-378-30907-8</t>
  </si>
  <si>
    <t>9785378309078</t>
  </si>
  <si>
    <t>146973</t>
  </si>
  <si>
    <t>НАКЛЕЙ КРУЖОЧКИ. ДОМАШНИЕ ЖИВОТНЫЕ</t>
  </si>
  <si>
    <t>978-5-378-30909-2</t>
  </si>
  <si>
    <t>9785378309092</t>
  </si>
  <si>
    <t>126668</t>
  </si>
  <si>
    <t>НАКЛЕЙ КРУЖОЧКИ. ЗАБАВНЫЕ ЖИВОТНЫЕ</t>
  </si>
  <si>
    <t>978-5-378-29948-5</t>
  </si>
  <si>
    <t>9785378299485</t>
  </si>
  <si>
    <t>190137</t>
  </si>
  <si>
    <t>НАКЛЕЙ КРУЖОЧКИ. МИР ВОКРУГ</t>
  </si>
  <si>
    <t>978-5-378-33902-0</t>
  </si>
  <si>
    <t>9785378339020</t>
  </si>
  <si>
    <t>146972</t>
  </si>
  <si>
    <t>НАКЛЕЙ КРУЖОЧКИ. НА ФЕРМЕ</t>
  </si>
  <si>
    <t>978-5-378-30908-5</t>
  </si>
  <si>
    <t>9785378309085</t>
  </si>
  <si>
    <t>126669</t>
  </si>
  <si>
    <t>НАКЛЕЙ КРУЖОЧКИ. НАКЛЕЙ ПО ОБРАЗЦУ</t>
  </si>
  <si>
    <t>978-5-378-29949-2</t>
  </si>
  <si>
    <t>9785378299492</t>
  </si>
  <si>
    <t>126670</t>
  </si>
  <si>
    <t>НАКЛЕЙ КРУЖОЧКИ. ОКРУЖАЮЩИЙ МИР</t>
  </si>
  <si>
    <t>978-5-378-29950-8</t>
  </si>
  <si>
    <t>9785378299508</t>
  </si>
  <si>
    <t>108322</t>
  </si>
  <si>
    <t>НАКЛЕЙ КРУЖОЧКИ. ПОДБЕРИ ПО ЦВЕТУ!</t>
  </si>
  <si>
    <t>978-5-378-29173-1</t>
  </si>
  <si>
    <t>9785378291731</t>
  </si>
  <si>
    <t>108323</t>
  </si>
  <si>
    <t>НАКЛЕЙ КРУЖОЧКИ. ПОДБЕРИ ПРАВИЛЬНО!</t>
  </si>
  <si>
    <t>978-5-378-29174-8</t>
  </si>
  <si>
    <t>9785378291748</t>
  </si>
  <si>
    <t>108325</t>
  </si>
  <si>
    <t>НАКЛЕЙ КРУЖОЧКИ. ПОСЧИТАЙ САМ!</t>
  </si>
  <si>
    <t>978-5-378-29175-5</t>
  </si>
  <si>
    <t>9785378291755</t>
  </si>
  <si>
    <t xml:space="preserve">СЕРИЯ: НАКЛЕЙКИ "ЧУДЕСНЫЕ НАРЯДЫ" мелов.обл. 4 листа 160х230 </t>
  </si>
  <si>
    <t>253358</t>
  </si>
  <si>
    <t>НАКЛЕЙКИ "ЧУДЕСНЫЕ НАРЯДЫ" МОДНИЦЫ</t>
  </si>
  <si>
    <t>978-5-378-35572-3</t>
  </si>
  <si>
    <t>В книжках серии «Чудесные наряды» ты найдёшь более 50 ярких наклеек: предметы одежды, обувь и аксессуары. Собери неповторимый образ для каждого события!</t>
  </si>
  <si>
    <t>9785378355723</t>
  </si>
  <si>
    <t>242777cc0dc73eb1a8b37096d221e903</t>
  </si>
  <si>
    <t>253359</t>
  </si>
  <si>
    <t>НАКЛЕЙКИ "ЧУДЕСНЫЕ НАРЯДЫ" ПРИНЦЕССЫ</t>
  </si>
  <si>
    <t>978-5-378-35575-4</t>
  </si>
  <si>
    <t>9785378355754</t>
  </si>
  <si>
    <t>253360</t>
  </si>
  <si>
    <t>НАКЛЕЙКИ "ЧУДЕСНЫЕ НАРЯДЫ" СУПЕРЗВЕЗДА</t>
  </si>
  <si>
    <t>978-5-378-35573-0</t>
  </si>
  <si>
    <t>9785378355730</t>
  </si>
  <si>
    <t>253357</t>
  </si>
  <si>
    <t>НАКЛЕЙКИ "ЧУДЕСНЫЕ НАРЯДЫ" ТАНЦЫ</t>
  </si>
  <si>
    <t>978-5-378-35574-7</t>
  </si>
  <si>
    <t>9785378355747</t>
  </si>
  <si>
    <t>СЕРИЯ: РАЗВИВАЮЩИЕ НАКЛЕЙКИ мелов.обл 140х195</t>
  </si>
  <si>
    <t>245206</t>
  </si>
  <si>
    <t>РАЗВИВАЮЩИЕ НАКЛЕЙКИ. ДИКИЕ ЖИВОТНЫЕ</t>
  </si>
  <si>
    <t>978-5-378-35395-8</t>
  </si>
  <si>
    <t>Представляем серию «Развивающие наклейки». Это идеальный подарок для малышей, которые любят творчество! В брошюре 8 страниц с интересными иллюстрациями. В книге также есть 4 листа с яркими наклейками, которые нужно поместить на соответствующие пустые места на страницах. В серии 4 брошюры на любой вкус: дикие и домашние животные, машины и милые приключения для девочек.
Серия «Развивающие наклейки» поможет развить художественные навыки, воображение и мелкую моторику. Подарите ребёнку радость и возможность окунуться в мир творчества!</t>
  </si>
  <si>
    <t>9785378353958</t>
  </si>
  <si>
    <t>140х195х1</t>
  </si>
  <si>
    <t>245209</t>
  </si>
  <si>
    <t>РАЗВИВАЮЩИЕ НАКЛЕЙКИ. ДЛЯ ДЕВОЧЕК</t>
  </si>
  <si>
    <t>978-5-378-35397-2</t>
  </si>
  <si>
    <t>9785378353972</t>
  </si>
  <si>
    <t>245191</t>
  </si>
  <si>
    <t>РАЗВИВАЮЩИЕ НАКЛЕЙКИ. ДОМАШНИЕ ЖИВОТНЫЕ</t>
  </si>
  <si>
    <t>978-5-378-35394-1</t>
  </si>
  <si>
    <t>9785378353941</t>
  </si>
  <si>
    <t>СЕРИЯ: РАСКРАСКА "ОТ ТОЧКИ К ТОЧКЕ С НАКЛЕЙКАМИ" 195х276</t>
  </si>
  <si>
    <t>249486</t>
  </si>
  <si>
    <t>РАСКРАСКА. ОТ ТОЧКИ К ТОЧКЕ С НАКЛЕЙКАМИ. ВОЛШЕБНЫЙ МИР</t>
  </si>
  <si>
    <t>978-5-378-35505-1</t>
  </si>
  <si>
    <t>Новая серия раскрасок с наклейками "От точки к точке с наклейками" подарит вашим детям увлекательные часы творчества и развлечений. В эту серию входят четыре раскраски формата чуть меньше А4 (195х276 мм): "Транспорт", "Животные", "Динозавры" и "Волшебный мир", каждая из которых содержит 12 сюжетов на 6 листах, плюс лист с наклейками. На каждой странице ребёнку необходимо соединить точки, чтобы получить контур основных объектов, а после раскрасить их и дополнить свои творения яркими наклейками, следуя подсказками художника. Всё это не только увлекательно, но и способствует развитию логического мышления. Серия "От точки к точке с наклейками" станет замечательным подарком для детей от 4 лет и старше, вдохновляя их на создание собственных шедевров!</t>
  </si>
  <si>
    <t>9785378355051</t>
  </si>
  <si>
    <t>4e7f94d3dadde9946cbf3783cbfd59aa</t>
  </si>
  <si>
    <t>249489</t>
  </si>
  <si>
    <t>РАСКРАСКА. ОТ ТОЧКИ К ТОЧКЕ С НАКЛЕЙКАМИ. ДИНОЗАВРЫ</t>
  </si>
  <si>
    <t>978-5-378-35508-2</t>
  </si>
  <si>
    <t>9785378355082</t>
  </si>
  <si>
    <t>3a43d1f92188adc93e3980f8a881e66d</t>
  </si>
  <si>
    <t>249488</t>
  </si>
  <si>
    <t>РАСКРАСКА. ОТ ТОЧКИ К ТОЧКЕ С НАКЛЕЙКАМИ. ЖИВОТНЫЕ</t>
  </si>
  <si>
    <t>978-5-378-35507-5</t>
  </si>
  <si>
    <t>9785378355075</t>
  </si>
  <si>
    <t>e43d60676ae0b3a0b427f24f0cac781a</t>
  </si>
  <si>
    <t>249487</t>
  </si>
  <si>
    <t>РАСКРАСКА. ОТ ТОЧКИ К ТОЧКЕ С НАКЛЕЙКАМИ. ТРАНСПОРТ</t>
  </si>
  <si>
    <t>978-5-378-35506-8</t>
  </si>
  <si>
    <t>9785378355068</t>
  </si>
  <si>
    <t>c086a1cb49ce1089e874af826c409e8a</t>
  </si>
  <si>
    <t>СЕРИЯ: РАСКРАСКА С НАКЛЕЙКАМИ 16стр глянц.ламин, картон. обл 300х470</t>
  </si>
  <si>
    <t>245227</t>
  </si>
  <si>
    <t>РАСКРАСКА С НАКЛЕЙКАМИ. ДОМАШНИЕ ЖИВОТНЫЕ</t>
  </si>
  <si>
    <t>978-5-378-35387-3</t>
  </si>
  <si>
    <t>Итак, располагайтесь поудобнее, берите в руки карандаши или фломастеры и начинайте творить! Новые раскраски макси-формата развивают мелкую моторику и воображение, но самое главное — внутри два листа с наклейками, которыми можно дополнить рисунок, украсить блокнот или альбом.</t>
  </si>
  <si>
    <t>9785378353873</t>
  </si>
  <si>
    <t>296х474х2</t>
  </si>
  <si>
    <t>245226</t>
  </si>
  <si>
    <t>РАСКРАСКА С НАКЛЕЙКАМИ. МАМЫ И ДЕТКИ</t>
  </si>
  <si>
    <t>978-5-378-35386-6</t>
  </si>
  <si>
    <t>9785378353866</t>
  </si>
  <si>
    <t>245225</t>
  </si>
  <si>
    <t>РАСКРАСКА С НАКЛЕЙКАМИ. МИЛЫЕ ПРИНЦЕССЫ</t>
  </si>
  <si>
    <t>978-5-378-35385-9</t>
  </si>
  <si>
    <t>9785378353859</t>
  </si>
  <si>
    <t>245224</t>
  </si>
  <si>
    <t>РАСКРАСКА С НАКЛЕЙКАМИ. ТРАНСПОРТ</t>
  </si>
  <si>
    <t>978-5-378-35384-2</t>
  </si>
  <si>
    <t>9785378353842</t>
  </si>
  <si>
    <t>СЕРИЯ: РАСКРАСКА С НАКЛЕЙКАМИ 24стр 197х276</t>
  </si>
  <si>
    <t>170407</t>
  </si>
  <si>
    <t>Раскраска с заданиями. Занимательные картинки</t>
  </si>
  <si>
    <t>978-5-378-32178-0</t>
  </si>
  <si>
    <t>9785378321780</t>
  </si>
  <si>
    <t>197х276х2</t>
  </si>
  <si>
    <t>170411</t>
  </si>
  <si>
    <t>Раскраска с заданиями. Умные рисовалки</t>
  </si>
  <si>
    <t>978-5-378-32180-3</t>
  </si>
  <si>
    <t>9785378321803</t>
  </si>
  <si>
    <t>170385</t>
  </si>
  <si>
    <t>Раскраска с примерами. Для девочек</t>
  </si>
  <si>
    <t>978-5-378-32162-9</t>
  </si>
  <si>
    <t>Можно ли решать примеры и одновременно рисовать? Конечно! Именно для этого мы разработали серию раскрасок с примерами. На страницах этих брошюр вас ждут картинки на любой вкус, а также несложные примеры на сложение и вычитание, которые помогут ребёнку в легкой игровой форме развить навыки счёта, логику и мышление.</t>
  </si>
  <si>
    <t>9785378321629</t>
  </si>
  <si>
    <t>170387</t>
  </si>
  <si>
    <t>Раскраска с примерами. Для мальчиков</t>
  </si>
  <si>
    <t>978-5-378-32161-2</t>
  </si>
  <si>
    <t>9785378321612</t>
  </si>
  <si>
    <t>170390</t>
  </si>
  <si>
    <t>Раскраска с примерами. Забавные зверята</t>
  </si>
  <si>
    <t>978-5-378-32164-3</t>
  </si>
  <si>
    <t>9785378321643</t>
  </si>
  <si>
    <t>170389</t>
  </si>
  <si>
    <t>Раскраска с примерами. Озорные питомцы</t>
  </si>
  <si>
    <t>978-5-378-32163-6</t>
  </si>
  <si>
    <t>9785378321636</t>
  </si>
  <si>
    <t>170403</t>
  </si>
  <si>
    <t>Чёрная раскраска с заданиями. Для мальчиков</t>
  </si>
  <si>
    <t>978-5-378-32175-9</t>
  </si>
  <si>
    <t>9785378321759</t>
  </si>
  <si>
    <t>СЕРИЯ: РАСКРАСКИ с блестящими наклейками 195х276</t>
  </si>
  <si>
    <t>126710</t>
  </si>
  <si>
    <t>РАСКРАСКА с блестящими наклейками. ЕДИНОРОЖКИ</t>
  </si>
  <si>
    <t>978-5-378-30011-2</t>
  </si>
  <si>
    <t>Новая серия раскрасок с блестящими наклейками обязательно понравятся девчонкам! Раскрашивать милых персонажей и дополнять странички яркими наклейками - здорово и интересно!</t>
  </si>
  <si>
    <t>9785378300112</t>
  </si>
  <si>
    <t>126712</t>
  </si>
  <si>
    <t>РАСКРАСКА с блестящими наклейками. МИЛЫЕ ЗВЕРЯТА</t>
  </si>
  <si>
    <t>978-5-378-30012-9</t>
  </si>
  <si>
    <t>9785378300129</t>
  </si>
  <si>
    <t>СЕРИЯ: РАСКРАСЬ НАКЛЕЙКАМИ ПО НОМЕРАМ глянц.ламин.картон.обл 195х276</t>
  </si>
  <si>
    <t>213313</t>
  </si>
  <si>
    <t>РАСКРАСЬ НАКЛЕЙКАМИ ПО НОМЕРАМ. ВОЛШЕБНЫЙ МИР</t>
  </si>
  <si>
    <t>978-5-378-34466-6</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</si>
  <si>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кошек, динозавров, животных, персонажей волшебного мира и более двухсот наклеек!</t>
  </si>
  <si>
    <t>9785378344666</t>
  </si>
  <si>
    <t>251792</t>
  </si>
  <si>
    <t>РАСКРАСЬ НАКЛЕЙКАМИ ПО НОМЕРАМ. ДОСТОПРИМЕЧАТЕЛЬНОСТИ РОССИИ</t>
  </si>
  <si>
    <t>978-5-378-35553-2</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</si>
  <si>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и около трёхсот наклеек!</t>
  </si>
  <si>
    <t>9785378355532</t>
  </si>
  <si>
    <t>409c71e4cc1c16124bce834157378284</t>
  </si>
  <si>
    <t>213314</t>
  </si>
  <si>
    <t>РАСКРАСЬ НАКЛЕЙКАМИ ПО НОМЕРАМ. ЖИВОТНЫЕ</t>
  </si>
  <si>
    <t>978-5-378-34467-3</t>
  </si>
  <si>
    <t>9785378344673</t>
  </si>
  <si>
    <t>213312</t>
  </si>
  <si>
    <t>РАСКРАСЬ НАКЛЕЙКАМИ ПО НОМЕРАМ. КОШКИ</t>
  </si>
  <si>
    <t>978-5-378-34465-9</t>
  </si>
  <si>
    <t>9785378344659</t>
  </si>
  <si>
    <t>251789</t>
  </si>
  <si>
    <t>РАСКРАСЬ НАКЛЕЙКАМИ ПО НОМЕРАМ. МАШИНЫ</t>
  </si>
  <si>
    <t>978-5-378-35552-5</t>
  </si>
  <si>
    <t>9785378355525</t>
  </si>
  <si>
    <t>251787</t>
  </si>
  <si>
    <t>РАСКРАСЬ НАКЛЕЙКАМИ ПО НОМЕРАМ. СОБАКИ</t>
  </si>
  <si>
    <t>978-5-378-35551-8</t>
  </si>
  <si>
    <t>9785378355518</t>
  </si>
  <si>
    <t>251795</t>
  </si>
  <si>
    <t>РАСКРАСЬ НАКЛЕЙКАМИ ПО НОМЕРАМ. ЦВЕТЫ</t>
  </si>
  <si>
    <t>978-5-378-35554-9</t>
  </si>
  <si>
    <t>9785378355549</t>
  </si>
  <si>
    <t>СЕРИЯ: СИЯЮЩИЕ НАКЛЕЙКИ  200х280</t>
  </si>
  <si>
    <t>142208</t>
  </si>
  <si>
    <t>СИЯЮЩИЕ НАКЛЕЙКИ. ВОЛШЕБНЫЕ ЛОШАДКИ</t>
  </si>
  <si>
    <t>978-5-378-30746-3</t>
  </si>
  <si>
    <t>Серия "Сияющие наклейки" станет крутым подарком для каждой девочки! Ведь в этих брошюрах целых 4 больших листа с наклейками. Наклейки покрыты блёстками и классно сияют!</t>
  </si>
  <si>
    <t>9785378307463</t>
  </si>
  <si>
    <t>200х208х2</t>
  </si>
  <si>
    <t>142207</t>
  </si>
  <si>
    <t>СИЯЮЩИЕ НАКЛЕЙКИ. ПУШИСТИКИ</t>
  </si>
  <si>
    <t>978-5-378-30745-6</t>
  </si>
  <si>
    <t>9785378307456</t>
  </si>
  <si>
    <t xml:space="preserve">СЕРИЯ: СКАЗКА С НАКЛЕЙКАМИ картон.обл.195х276 </t>
  </si>
  <si>
    <t>264374</t>
  </si>
  <si>
    <t>СКАЗКА С НАКЛЕЙКАМИ. ЗАЮШКИНА ИЗБУШКА</t>
  </si>
  <si>
    <t>978-5-378-35830-4</t>
  </si>
  <si>
    <t>Замечательный подарок для самых маленьких! Читайте сказки и украшайте иллюстрации наклейками.</t>
  </si>
  <si>
    <t>&gt;1 200</t>
  </si>
  <si>
    <t>9785378358304</t>
  </si>
  <si>
    <t>494ba0c41dfc09ec7b7c709587a8c82a</t>
  </si>
  <si>
    <t>264375</t>
  </si>
  <si>
    <t>СКАЗКА С НАКЛЕЙКАМИ. КОЛОБОК</t>
  </si>
  <si>
    <t>978-5-378-35831-1</t>
  </si>
  <si>
    <t>9785378358311</t>
  </si>
  <si>
    <t>ad073461c301f860777308bfa5f5e0fe</t>
  </si>
  <si>
    <t>264377</t>
  </si>
  <si>
    <t>СКАЗКА С НАКЛЕЙКАМИ. РЕПКА</t>
  </si>
  <si>
    <t>978-5-378-35832-8</t>
  </si>
  <si>
    <t>9785378358328</t>
  </si>
  <si>
    <t>b354056e0829672ce534f904214096ff</t>
  </si>
  <si>
    <t>264372</t>
  </si>
  <si>
    <t>СКАЗКА С НАКЛЕЙКАМИ. ТЕРЕМОК</t>
  </si>
  <si>
    <t>978-5-378-35829-8</t>
  </si>
  <si>
    <t>9785378358298</t>
  </si>
  <si>
    <t>9da31df74ba155af595c688132ca0656</t>
  </si>
  <si>
    <t xml:space="preserve">СЕРИЯ: СКАЗКИ ЧУКОВСКОГО С НАКЛЕЙКАМИ 160х225 </t>
  </si>
  <si>
    <t>260242</t>
  </si>
  <si>
    <t>СКАЗКИ ЧУКОВСКОГО С НАКЛЕЙКАМИ. АЙБОЛИТ</t>
  </si>
  <si>
    <t>978-5-378-35721-5</t>
  </si>
  <si>
    <t>Серия "Сказки с наклейками" представлена несколькими наименованиями: «Айболит», «Телефон», «Мойдодыр» и «Муха-Цокотуха». В этих брошюрах - классические тексты сказок К. И. Чуковского с яркими картинками и наклейками. На каждом развороте есть место для наклейки, что делает брошюры интерактивными, развивая внимание и мелкую моторику.</t>
  </si>
  <si>
    <t>9785378357215</t>
  </si>
  <si>
    <t>5fe755ee32436fe5ad9c64b1e89aed48</t>
  </si>
  <si>
    <t>160х225х1</t>
  </si>
  <si>
    <t>260244</t>
  </si>
  <si>
    <t>СКАЗКИ ЧУКОВСКОГО С НАКЛЕЙКАМИ. МОЙДОДЫР</t>
  </si>
  <si>
    <t>978-5-378-35723-9</t>
  </si>
  <si>
    <t>9785378357239</t>
  </si>
  <si>
    <t>200d0795f37337366f5f40d1c7a0418e</t>
  </si>
  <si>
    <t>260246</t>
  </si>
  <si>
    <t>СКАЗКИ ЧУКОВСКОГО С НАКЛЕЙКАМИ. МУХА-ЦОКОТУХА</t>
  </si>
  <si>
    <t>978-5-378-35722-2</t>
  </si>
  <si>
    <t>9785378357222</t>
  </si>
  <si>
    <t>5e2aa574c0bf9c70d68464eec2dc5733</t>
  </si>
  <si>
    <t>260247</t>
  </si>
  <si>
    <t>СКАЗКИ ЧУКОВСКОГО С НАКЛЕЙКАМИ. ТЕЛЕФОН</t>
  </si>
  <si>
    <t>978-5-378-35724-6</t>
  </si>
  <si>
    <t>9785378357246</t>
  </si>
  <si>
    <t>407388fed7d3d99dbfd3ba750c4c2fa7</t>
  </si>
  <si>
    <t>СЕРИЯ: УМНЫЕ НАКЛЕЙКИ глянц.ламин.обл.195х275</t>
  </si>
  <si>
    <t>123644</t>
  </si>
  <si>
    <t>УМНЫЕ НАКЛЕЙКИ. ТРАНСПОРТ</t>
  </si>
  <si>
    <t>978-5-378-29824-2</t>
  </si>
  <si>
    <t>С серией "Умные наклейки" малыш с пользой проведёт время! Полезная информация о временах года расширит кругозор, интересные задания помогут стать внимательнее, а наклейки развеселят юного исследователя. Обучение в игровой форме - что может быть лучше?</t>
  </si>
  <si>
    <t>9785378298242</t>
  </si>
  <si>
    <t>ПРОПИСИ</t>
  </si>
  <si>
    <t>СЕРИЯ: АНГЛИЙСКИЕ ПРОПИСИ 195х276</t>
  </si>
  <si>
    <t>074613</t>
  </si>
  <si>
    <t>АНГЛИЙСКИЕ ПРОПИСИ. ПИШЕМ БУКВЫ И СЛОВА</t>
  </si>
  <si>
    <t>978-5-378-27940-1</t>
  </si>
  <si>
    <t>Английские прописи помогут начинающим ученикам выучить английский алфавит, освоить написание английских букв и первых слов.</t>
  </si>
  <si>
    <t>9785378279401</t>
  </si>
  <si>
    <t>23.11.2017 0:00:00</t>
  </si>
  <si>
    <t>Английские прописи</t>
  </si>
  <si>
    <t>074614</t>
  </si>
  <si>
    <t>АНГЛИЙСКИЕ ПРОПИСИ. ПИШЕМ БУКВЫ И ЦИФРЫ</t>
  </si>
  <si>
    <t>978-5-378-27939-5</t>
  </si>
  <si>
    <t>9785378279395</t>
  </si>
  <si>
    <t>СЕРИЯ: Большая активити с наклейками 235х330</t>
  </si>
  <si>
    <t>147204</t>
  </si>
  <si>
    <t>Большая активити книга игр. Игры для вундеркиндов</t>
  </si>
  <si>
    <t>978-5-378-30944-3</t>
  </si>
  <si>
    <t>Чем занять ребенка, чтобы он провел время с пользой и удовольствием? У нас есть ответ. Серия больших активити книг! В неё входят 24 различных сборников с интересными играми и развивающими заданиями. Прописи с яркими картинками для подготовки к письму и красивого почерка, увлекательные лабиринты, раскраски, весёлые головоломки, а также нескучные задания по русскому и математике для детей от 5 и 7 лет. С такими книгами ребенок сам не заметит, как в игре закрепит свои знания и получить новые. Можно заниматься и дома, и в дороге.</t>
  </si>
  <si>
    <t>9785378309443</t>
  </si>
  <si>
    <t>235х330х3</t>
  </si>
  <si>
    <t>147218</t>
  </si>
  <si>
    <t>Большая активити книга лабиринтов. Найди дорожку</t>
  </si>
  <si>
    <t>978-5-378-30951-1</t>
  </si>
  <si>
    <t>9785378309511</t>
  </si>
  <si>
    <t>147189</t>
  </si>
  <si>
    <t>Большая активити пропись. Готовим руку к письму</t>
  </si>
  <si>
    <t>978-5-378-30934-4</t>
  </si>
  <si>
    <t>9785378309344</t>
  </si>
  <si>
    <t>147187</t>
  </si>
  <si>
    <t>Большая активити пропись. Каллиграфия</t>
  </si>
  <si>
    <t>978-5-378-30932-0</t>
  </si>
  <si>
    <t>9785378309320</t>
  </si>
  <si>
    <t>147185</t>
  </si>
  <si>
    <t>Большая активити пропись. Клетка и штриховка</t>
  </si>
  <si>
    <t>978-5-378-30931-3</t>
  </si>
  <si>
    <t>9785378309313</t>
  </si>
  <si>
    <t>147183</t>
  </si>
  <si>
    <t>Большая активити пропись. Обведи и нарисуй</t>
  </si>
  <si>
    <t>978-5-378-30930-6</t>
  </si>
  <si>
    <t>9785378309306</t>
  </si>
  <si>
    <t>147188</t>
  </si>
  <si>
    <t>Большая активити пропись. Учимся писать</t>
  </si>
  <si>
    <t>978-5-378-30933-7</t>
  </si>
  <si>
    <t>9785378309337</t>
  </si>
  <si>
    <t>147182</t>
  </si>
  <si>
    <t>Большая активити пропись. Учимся рисовать</t>
  </si>
  <si>
    <t>978-5-378-30929-0</t>
  </si>
  <si>
    <t>9785378309290</t>
  </si>
  <si>
    <t>147195</t>
  </si>
  <si>
    <t>Большая активити раскраска. Занимательные картинки</t>
  </si>
  <si>
    <t>978-5-378-30938-2</t>
  </si>
  <si>
    <t>9785378309382</t>
  </si>
  <si>
    <t>147197</t>
  </si>
  <si>
    <t>Большая активити раскраска. Играем и рисуем</t>
  </si>
  <si>
    <t>978-5-378-30939-9</t>
  </si>
  <si>
    <t>9785378309399</t>
  </si>
  <si>
    <t>147190</t>
  </si>
  <si>
    <t>Большая активити раскраска. Считаем и красим</t>
  </si>
  <si>
    <t>978-5-378-30935-1</t>
  </si>
  <si>
    <t>9785378309351</t>
  </si>
  <si>
    <t>147193</t>
  </si>
  <si>
    <t>Большая активити раскраска. Умные картинки</t>
  </si>
  <si>
    <t>978-5-378-30937-5</t>
  </si>
  <si>
    <t>9785378309375</t>
  </si>
  <si>
    <t>147192</t>
  </si>
  <si>
    <t>Большая активити раскраска. Цветные истории с примером</t>
  </si>
  <si>
    <t>978-5-378-30936-8</t>
  </si>
  <si>
    <t>9785378309368</t>
  </si>
  <si>
    <t>СЕРИЯ: ВСЕ ПРОПИСИ А5 мелован. бумага 162х210</t>
  </si>
  <si>
    <t>110570</t>
  </si>
  <si>
    <t>ВСЕ ПРОПИСИ А5. БУКВЫ И ЦИФРЫ</t>
  </si>
  <si>
    <t>978-5-378-29304-9</t>
  </si>
  <si>
    <t>Серия "Все прописи" поможет малышу научиться писать сначала штрихи, палочки и крючки, а затем цифры и буквы английского и русского алфавитов. Также в прописях серии малыша ждут раскраски и забавные картинки, которые сделают процесс обучения более весёлым и интересным.</t>
  </si>
  <si>
    <t>9785378293049</t>
  </si>
  <si>
    <t>162х210х4</t>
  </si>
  <si>
    <t>110571</t>
  </si>
  <si>
    <t>ВСЕ ПРОПИСИ А5. ГОТОВИМ РУКУ К ПИСЬМУ</t>
  </si>
  <si>
    <t>978-5-378-29305-6</t>
  </si>
  <si>
    <t>9785378293056</t>
  </si>
  <si>
    <t>124218</t>
  </si>
  <si>
    <t>ВСЕ ПРОПИСИ А5. ДЛЯ ДОШКОЛЯТ</t>
  </si>
  <si>
    <t>978-5-378-29878-5</t>
  </si>
  <si>
    <t>В брошюре "Все прописи для дошколят" - это издание, которое в занимательной форме поможет ребёнку выучить буквы и цифры, а также развить внимание и логику мышления.</t>
  </si>
  <si>
    <t>9785378298785</t>
  </si>
  <si>
    <t>124217</t>
  </si>
  <si>
    <t>ВСЕ ПРОПИСИ А5. КАЛЛИГРАФИЧЕСКИЕ</t>
  </si>
  <si>
    <t>978-5-378-29837-2</t>
  </si>
  <si>
    <t>В брошюре "Все каллиграфические прописи" представлены буквы, соединения букв, слова, целые предложения, а также цифры и несложные задания, которые соответствуют уровню первоклассника.</t>
  </si>
  <si>
    <t>9785378298372</t>
  </si>
  <si>
    <t>СЕРИЯ: КАЛЛИГРАФИЧЕСКАЯ ПРОПИСЬ А4 195х276</t>
  </si>
  <si>
    <t>044668</t>
  </si>
  <si>
    <t>КАЛЛИГРАФИЧЕСКАЯ ПРОПИСЬ А4. ПИШЕМ СЛОВА</t>
  </si>
  <si>
    <t>978-5-378-26400-1</t>
  </si>
  <si>
    <t>Серия "Каллиграфическая пропись" предназначена для детей старшего дошкольного и младшего школьного возраста. Она познакомит ребёнка с правильным написанием букв,слогов,слов и цифр. Занятия по пособиям этой серии помогут малышу научиться координировать мелкие движения руки,разовьют усидчивость и позволят чувствовать себя увереннее на школьных уроках письма.</t>
  </si>
  <si>
    <t>9785378264001</t>
  </si>
  <si>
    <t>15.05.2018 0:00:00</t>
  </si>
  <si>
    <t>Каллигарфические прописи</t>
  </si>
  <si>
    <t>044669</t>
  </si>
  <si>
    <t>КАЛЛИГРАФИЧЕСКАЯ ПРОПИСЬ А4. ПИШЕМ СЛОГИ</t>
  </si>
  <si>
    <t>978-5-378-26401-8</t>
  </si>
  <si>
    <t>9785378264018</t>
  </si>
  <si>
    <t>044670</t>
  </si>
  <si>
    <t>КАЛЛИГРАФИЧЕСКАЯ ПРОПИСЬ А4. ПИШЕМ СЛОГИ И СЛОВА</t>
  </si>
  <si>
    <t>978-5-378-26402-5</t>
  </si>
  <si>
    <t>9785378264025</t>
  </si>
  <si>
    <t>СЕРИЯ: КАЛЛИГРАФИЧЕСКАЯ ПРОПИСЬ А5   143х197</t>
  </si>
  <si>
    <t>044673</t>
  </si>
  <si>
    <t>КАЛЛИГРАФИЧЕСКАЯ ПРОПИСЬ А5. ПИШЕМ БУКВЫ И ЦИФРЫ</t>
  </si>
  <si>
    <t>978-5-378-26404-9</t>
  </si>
  <si>
    <t>9785378264049</t>
  </si>
  <si>
    <t>143х197х2</t>
  </si>
  <si>
    <t>044675</t>
  </si>
  <si>
    <t>КАЛЛИГРАФИЧЕСКАЯ ПРОПИСЬ А5. ПИШЕМ ПРОПИСНЫЕ БУКВЫ</t>
  </si>
  <si>
    <t>978-5-378-26406-3</t>
  </si>
  <si>
    <t>9785378264063</t>
  </si>
  <si>
    <t>044677</t>
  </si>
  <si>
    <t>КАЛЛИГРАФИЧЕСКАЯ ПРОПИСЬ А5. ПИШЕМ СЛОВА</t>
  </si>
  <si>
    <t>978-5-378-26408-7</t>
  </si>
  <si>
    <t>9785378264087</t>
  </si>
  <si>
    <t>044678</t>
  </si>
  <si>
    <t>КАЛЛИГРАФИЧЕСКАЯ ПРОПИСЬ А5. ПИШЕМ СЛОГИ</t>
  </si>
  <si>
    <t>978-5-378-26409-4</t>
  </si>
  <si>
    <t>9785378264094</t>
  </si>
  <si>
    <t>044679</t>
  </si>
  <si>
    <t>КАЛЛИГРАФИЧЕСКАЯ ПРОПИСЬ А5. ПИШЕМ СЛОГИ И СЛОВА</t>
  </si>
  <si>
    <t>978-5-378-26410-0</t>
  </si>
  <si>
    <t>9785378264100</t>
  </si>
  <si>
    <t>044676</t>
  </si>
  <si>
    <t>КАЛЛИГРАФИЧЕСКАЯ ПРОПИСЬ А5. ПИШЕМ СТРОЧНЫЕ БУКВЫ</t>
  </si>
  <si>
    <t>978-5-378-26407-0</t>
  </si>
  <si>
    <t>9785378264070</t>
  </si>
  <si>
    <t>044674</t>
  </si>
  <si>
    <t>КАЛЛИГРАФИЧЕСКАЯ ПРОПИСЬ А5. ПИШЕМ ЦИФРЫ</t>
  </si>
  <si>
    <t>978-5-378-26405-6</t>
  </si>
  <si>
    <t>9785378264056</t>
  </si>
  <si>
    <t>044680</t>
  </si>
  <si>
    <t>КАЛЛИГРАФИЧЕСКАЯ ПРОПИСЬ А5. ПИШЕМ ЦИФРЫ, БУКВЫ, СЛОГИ</t>
  </si>
  <si>
    <t>978-5-378-26411-7</t>
  </si>
  <si>
    <t>9785378264117</t>
  </si>
  <si>
    <t>СЕРИЯ: КАЛЛИГРАФИЧЕСКАЯ ПРОПИСЬ А5 альбомная   200х140</t>
  </si>
  <si>
    <t>044682</t>
  </si>
  <si>
    <t>КАЛЛИГРАФИЧЕСКАЯ ПРОПИСЬ А5. альбомная. ПИШЕМ БУКВЫ И ЦИФРЫ</t>
  </si>
  <si>
    <t>978-5-378-26412-4</t>
  </si>
  <si>
    <t>9785378264124</t>
  </si>
  <si>
    <t>200х140х2</t>
  </si>
  <si>
    <t>044684</t>
  </si>
  <si>
    <t>КАЛЛИГРАФИЧЕСКАЯ ПРОПИСЬ А5. альбомная. ПИШЕМ ПРОПИСНЫЕ БУКВЫ</t>
  </si>
  <si>
    <t>978-5-378-26414-8</t>
  </si>
  <si>
    <t>9785378264148</t>
  </si>
  <si>
    <t>044686</t>
  </si>
  <si>
    <t>КАЛЛИГРАФИЧЕСКАЯ ПРОПИСЬ А5. альбомная. ПИШЕМ СЛОВА</t>
  </si>
  <si>
    <t>978-5-378-26416-2</t>
  </si>
  <si>
    <t>9785378264162</t>
  </si>
  <si>
    <t>044687</t>
  </si>
  <si>
    <t>КАЛЛИГРАФИЧЕСКАЯ ПРОПИСЬ А5. альбомная. ПИШЕМ СЛОГИ</t>
  </si>
  <si>
    <t>978-5-378-26417-9</t>
  </si>
  <si>
    <t>9785378264179</t>
  </si>
  <si>
    <t>044688</t>
  </si>
  <si>
    <t>КАЛЛИГРАФИЧЕСКАЯ ПРОПИСЬ А5. альбомная. ПИШЕМ СЛОГИ И СЛОВА</t>
  </si>
  <si>
    <t>978-5-378-26418-6</t>
  </si>
  <si>
    <t>9785378264186</t>
  </si>
  <si>
    <t>044685</t>
  </si>
  <si>
    <t>КАЛЛИГРАФИЧЕСКАЯ ПРОПИСЬ А5. альбомная. ПИШЕМ СТРОЧНЫЕ БУКВЫ</t>
  </si>
  <si>
    <t>978-5-378-26415-5</t>
  </si>
  <si>
    <t>9785378264155</t>
  </si>
  <si>
    <t>044683</t>
  </si>
  <si>
    <t>КАЛЛИГРАФИЧЕСКАЯ ПРОПИСЬ А5. альбомная. ПИШЕМ ЦИФРЫ</t>
  </si>
  <si>
    <t>978-5-378-26413-1</t>
  </si>
  <si>
    <t>9785378264131</t>
  </si>
  <si>
    <t>044689</t>
  </si>
  <si>
    <t>КАЛЛИГРАФИЧЕСКАЯ ПРОПИСЬ А5. альбомная. ПИШЕМ ЦИФРЫ, БУКВЫ, СЛОГИ</t>
  </si>
  <si>
    <t>978-5-378-26419-3</t>
  </si>
  <si>
    <t>9785378264193</t>
  </si>
  <si>
    <t>СЕРИЯ: Каллиграфические прописи Аниме А5, глянц.ламин. мелов.обл.143х196</t>
  </si>
  <si>
    <t>220110</t>
  </si>
  <si>
    <t>Каллиграфические прописи Аниме А5. ПИШЕМ БУКВЫ ПРАВИЛЬНО</t>
  </si>
  <si>
    <t>978-5-378-34589-2</t>
  </si>
  <si>
    <t>Каллиграфические прописи помогут школьникам отработать правильное написание букв, слогов и слов и улучшить почерк, сделав его более аккуратным и разборчивым.</t>
  </si>
  <si>
    <t>9785378345892</t>
  </si>
  <si>
    <t>143х196х1</t>
  </si>
  <si>
    <t>220113</t>
  </si>
  <si>
    <t>Каллиграфические прописи Аниме А5. ТРЕНИРУЕМСЯ ПИСАТЬ СЛОГИ</t>
  </si>
  <si>
    <t>978-5-378-34591-5</t>
  </si>
  <si>
    <t>9785378345915</t>
  </si>
  <si>
    <t>220115</t>
  </si>
  <si>
    <t>Каллиграфические прописи Аниме А5. УЧИМСЯ ПИСАТЬ КРАСИВО</t>
  </si>
  <si>
    <t>978-5-378-34592-2</t>
  </si>
  <si>
    <t>9785378345922</t>
  </si>
  <si>
    <t>СЕРИЯ: КЛАССИЧЕСКИЕ ПРОПИСИ мелов.обл.195х276</t>
  </si>
  <si>
    <t>164952</t>
  </si>
  <si>
    <t>КЛАССИЧЕСКИЕ ПРОПИСИ. ПЕЧАТНЫЕ БУКВЫ</t>
  </si>
  <si>
    <t>978-5-378-31880-3</t>
  </si>
  <si>
    <t>Пропись поможет ребёнку познакомиться с печатными буквами русского алфавита и научиться красиво и правильно их писать. Цветные образцы и направляющие стрелочки облегчат обучение письму, а иллюстрации рядом с каждой буквой научат малыша сопоставлять букву со звуком, который она обозначает.</t>
  </si>
  <si>
    <t>9785378318803</t>
  </si>
  <si>
    <t>164954</t>
  </si>
  <si>
    <t>КЛАССИЧЕСКИЕ ПРОПИСИ. СОЕДИНЕНИЯ БУКВ</t>
  </si>
  <si>
    <t>978-5-378-31882-7</t>
  </si>
  <si>
    <t>В тетради представлены классические соединения букв, которые помогут ребёнку освоить навык безотрывного письма и в последующем без труда научиться разборчиво писать слова. Издание может быть использовано на уроках в школе, а также в условиях домашнего обучения.</t>
  </si>
  <si>
    <t>9785378318827</t>
  </si>
  <si>
    <t>СЕРИЯ: ПРОПИСИ ДЛЯ ЛЕВШЕЙ с ручкой, картон.обл, глянц.ламин 165х225</t>
  </si>
  <si>
    <t>229487</t>
  </si>
  <si>
    <t>ПРОПИСИ ДЛЯ ЛЕВШЕЙ с ручкой. СЛОВА И ПРЕДЛОЖЕНИЯ</t>
  </si>
  <si>
    <t>978-5-378-34756-8</t>
  </si>
  <si>
    <t>Эта серия прописей составлена для деток-левшей психологом и леворуким логопедом-дефектологом. Учебный материал учитывает анатомические особенности левшей, что делает процесс освоения письма более естественным и удобным.
Пропись выполнена из качественной бумаги с четкими линиями и направляющими, которые помогают формировать правильный почерк. В комплекте идет удобная ручка, сбалансированная для левшей, что обеспечивает легкость и плавность письма.</t>
  </si>
  <si>
    <t>9785378347568</t>
  </si>
  <si>
    <t>Макеева Ольга Николаевна</t>
  </si>
  <si>
    <t>10.01.2025 0:00:00</t>
  </si>
  <si>
    <t>175х225х10</t>
  </si>
  <si>
    <t>СЕРИЯ: ПРОПИСИ ДЛЯ ХОРОШЕГО ПОЧЕРКА глянц.ламин. 195х276</t>
  </si>
  <si>
    <t>142211</t>
  </si>
  <si>
    <t>ПРОПИСИ ДЛЯ ХОРОШЕГО ПОЧЕРКА. СОЕДИНЕНИЯ БУКВ</t>
  </si>
  <si>
    <t>978-5-378-30701-2</t>
  </si>
  <si>
    <t>В прописи представлены варианты классических соединений заглавных и строчных букв русского алфавита. Упражнения направлены на формирование у детей навыков красивого безотрывного письма, освоив которые ребёнок без труда сможет разборчиво и аккуратно писать слова. Издание разработано как для домашнего обучения, так и для использования на уроках в школе.</t>
  </si>
  <si>
    <t>9785378307012</t>
  </si>
  <si>
    <t>131537</t>
  </si>
  <si>
    <t>ПРОПИСИ ДЛЯ ХОРОШЕГО ПОЧЕРКА. ЦИФРЫ</t>
  </si>
  <si>
    <t>978-5-378-30204-8</t>
  </si>
  <si>
    <t>Издание поможет детям младшего школьного возраста освоить счёт в пределах 10. Ребёнок научится соотносить цифру с количеством предметов, которое она обозначает, выполнять несложные математические действия, правильно и красиво писать цифры.</t>
  </si>
  <si>
    <t>9785378302048</t>
  </si>
  <si>
    <t>СЕРИЯ: ПРОПИСИ С КАПИБАРОЙ обл.мелов, глянц.ламин 195х276</t>
  </si>
  <si>
    <t>242335</t>
  </si>
  <si>
    <t>ПРОПИСИ С КАПИБАРОЙ. Пишем буквы</t>
  </si>
  <si>
    <t>978-5-378-35285-2</t>
  </si>
  <si>
    <t>Серия «Прописи с капибарой» поможет школьникам отработать правильное написание букв, слогов и слов и улучшить почерк, сделав его более аккуратным и разборчивым.</t>
  </si>
  <si>
    <t>9785378352852</t>
  </si>
  <si>
    <t>8f673b637520f2926d41e5ff39f182ce</t>
  </si>
  <si>
    <t>242338</t>
  </si>
  <si>
    <t>ПРОПИСИ С КАПИБАРОЙ. Пишем буквы и слова</t>
  </si>
  <si>
    <t>978-5-378-35288-3</t>
  </si>
  <si>
    <t>9785378352883</t>
  </si>
  <si>
    <t>e7d3733733d14c3a916b724859aef6b1</t>
  </si>
  <si>
    <t>242337</t>
  </si>
  <si>
    <t>ПРОПИСИ С КАПИБАРОЙ. Пишем буквы и слоги</t>
  </si>
  <si>
    <t>978-5-378-35287-6</t>
  </si>
  <si>
    <t>9785378352876</t>
  </si>
  <si>
    <t>f64f94b83a3ee7c463ed46b98e09f70e</t>
  </si>
  <si>
    <t>242336</t>
  </si>
  <si>
    <t>ПРОПИСИ С КАПИБАРОЙ. Учимся писать буквы</t>
  </si>
  <si>
    <t>978-5-378-35286-9</t>
  </si>
  <si>
    <t>9785378352869</t>
  </si>
  <si>
    <t>c7904ac1696050a1b94b313cd955a0a7</t>
  </si>
  <si>
    <t>СЕРИЯ: ПРОПИСИ С НАКЛЕЙКАМИ мелов.обл. 165х225</t>
  </si>
  <si>
    <t>259928</t>
  </si>
  <si>
    <t>ПРОПИСИ С НАКЛЕЙКАМИ. ДЕВЧОНКИ</t>
  </si>
  <si>
    <t>978-5-378-35687-4</t>
  </si>
  <si>
    <t>Прописи серии "Прописи с наклейками" подойдут для детей дошкольного возраста, которые только готовятся пойти в школу. Мелкая моторика и усидчивость - базовые навыки для детей, поступающих в школу. С помощью прописей эти навыки можно развить легко и просто! А за каждую заполненную страницу малыш получит награду - сияющую наклейку с ярким рисунком, которую можно вклеить в пропись или использовать как украшение пенала, книжки и телефона.</t>
  </si>
  <si>
    <t>9785378356874</t>
  </si>
  <si>
    <t>bcfd7ce349d4252320865dd149c95447</t>
  </si>
  <si>
    <t>165х225х2</t>
  </si>
  <si>
    <t>259930</t>
  </si>
  <si>
    <t>ПРОПИСИ С НАКЛЕЙКАМИ. КОТИКИ</t>
  </si>
  <si>
    <t>978-5-378-35688-1</t>
  </si>
  <si>
    <t>9785378356881</t>
  </si>
  <si>
    <t>183dcd712bfb8bd6b991bdf0cdf9cf20</t>
  </si>
  <si>
    <t>259929</t>
  </si>
  <si>
    <t>ПРОПИСИ С НАКЛЕЙКАМИ. СОБАЧКИ</t>
  </si>
  <si>
    <t>978-5-378-35689-8</t>
  </si>
  <si>
    <t>9785378356898</t>
  </si>
  <si>
    <t>ecfa0e6370bf7595b90abc343b5baa1b</t>
  </si>
  <si>
    <t>СЕРИЯ: ПРОПИСИ ТОЛЬКО ДЛЯ ДЕВОЧЕК  глянц.ламин. 195х276</t>
  </si>
  <si>
    <t>156695</t>
  </si>
  <si>
    <t>ПРОПИСИ ТОЛЬКО ДЛЯ ДЕВОЧЕК. ЕДИНОРОЖКИ</t>
  </si>
  <si>
    <t>978-5-378-31342-6</t>
  </si>
  <si>
    <t>Новая серия прописей создана специально для девочек. С ними юные художницы смогут не только развить навыки письма, но и проявить фантазию! Очаровательные персонажи на страницах прописей - феи, котики, единорожки и куколки - никого не оставят равнодушными, а яркие, необычные обложки точно привлекут внимание!</t>
  </si>
  <si>
    <t>9785378313426</t>
  </si>
  <si>
    <t>156691</t>
  </si>
  <si>
    <t>ПРОПИСИ ТОЛЬКО ДЛЯ ДЕВОЧЕК. КУКОЛКИ</t>
  </si>
  <si>
    <t>978-5-378-31340-2</t>
  </si>
  <si>
    <t>9785378313402</t>
  </si>
  <si>
    <t>СЕРИЯ: ПРОПИСИ ТОЛЬКО ДЛЯ МАЛЬЧИКОВ  глянц.ламин. 195х276</t>
  </si>
  <si>
    <t>145837</t>
  </si>
  <si>
    <t>ПРОПИСИ ТОЛЬКО ДЛЯ МАЛЬЧИКОВ. ДИНОЗАВРЫ</t>
  </si>
  <si>
    <t>978-5-378-30883-5</t>
  </si>
  <si>
    <t>Новые прописи - это весёлое обучение. Они помогают ребёнку подготовить руку к письму, развить творческое мышление и мелкую моторику в игровой форме. Каждая книга содержит интересные задания на любимые темы мальчиков: динозаврики, машинки, роботы и монстрики.</t>
  </si>
  <si>
    <t>9785378308835</t>
  </si>
  <si>
    <t>145838</t>
  </si>
  <si>
    <t>ПРОПИСИ ТОЛЬКО ДЛЯ МАЛЬЧИКОВ. МАШИНКИ</t>
  </si>
  <si>
    <t>978-5-378-30880-4</t>
  </si>
  <si>
    <t>9785378308804</t>
  </si>
  <si>
    <t>СЕРИЯ: ПРОПИСИ эконом УЧИМСЯ ПИСАТЬ картон.обл. 165х225</t>
  </si>
  <si>
    <t>256172</t>
  </si>
  <si>
    <t>ПРОПИСИ эконом УЧИМСЯ ПИСАТЬ. ГОТОВИМ РУКУ К ПИСЬМУ</t>
  </si>
  <si>
    <t>978-5-378-35630-0</t>
  </si>
  <si>
    <t>Серия прописей «Учимся писать» для дошкольников предназначена для развития навыков письма и мелкой моторики у детей в возрасте от 4 до 6 лет. Каждая тетрадь включает в себя разнообразные упражнения, которые помогают малышам освоить основы письма, научиться правильно держать карандаш и писать буквы.</t>
  </si>
  <si>
    <t>9785378356300</t>
  </si>
  <si>
    <t>5d53ddf21a5acbfa11a4acfbe89749eb</t>
  </si>
  <si>
    <t>165х224х2</t>
  </si>
  <si>
    <t>256175</t>
  </si>
  <si>
    <t>ПРОПИСИ эконом УЧИМСЯ ПИСАТЬ. ПРОПИСНЫЕ БУКВЫ</t>
  </si>
  <si>
    <t>978-5-378-35632-4</t>
  </si>
  <si>
    <t>9785378356324</t>
  </si>
  <si>
    <t>6bdd51d50d132a7acb2681153f7b665c</t>
  </si>
  <si>
    <t>СЕРИЯ: ПРОПИСИ эконом УЧУСЬ ПИСАТЬ мелов.обл. 210х140</t>
  </si>
  <si>
    <t>183351</t>
  </si>
  <si>
    <t>ПРОПИСИ эконом УЧУСЬ ПИСАТЬ. ЛИНИИ И ФИГУРЫ</t>
  </si>
  <si>
    <t>978-5-378-33395-0</t>
  </si>
  <si>
    <t>9785378333950</t>
  </si>
  <si>
    <t>210х140х2</t>
  </si>
  <si>
    <t>183353</t>
  </si>
  <si>
    <t>ПРОПИСИ эконом УЧУСЬ ПИСАТЬ. ПЕЧАТНЫЕ БУКВЫ</t>
  </si>
  <si>
    <t>978-5-378-33396-7</t>
  </si>
  <si>
    <t>9785378333967</t>
  </si>
  <si>
    <t>183355</t>
  </si>
  <si>
    <t>ПРОПИСИ эконом УЧУСЬ ПИСАТЬ. ПРОПИСНЫЕ БУКВЫ</t>
  </si>
  <si>
    <t>978-5-378-33397-4</t>
  </si>
  <si>
    <t>9785378333974</t>
  </si>
  <si>
    <t>183341</t>
  </si>
  <si>
    <t>ПРОПИСИ эконом УЧУСЬ ПИСАТЬ. СЛОГИ И СЛОВА</t>
  </si>
  <si>
    <t>978-5-378-33393-6</t>
  </si>
  <si>
    <t>9785378333936</t>
  </si>
  <si>
    <t>183357</t>
  </si>
  <si>
    <t>ПРОПИСИ эконом УЧУСЬ ПИСАТЬ. СЧЁТ</t>
  </si>
  <si>
    <t>978-5-378-33398-1</t>
  </si>
  <si>
    <t>9785378333981</t>
  </si>
  <si>
    <t>183350</t>
  </si>
  <si>
    <t>ПРОПИСИ эконом УЧУСЬ ПИСАТЬ. ЦИФРЫ И ЧИСЛА</t>
  </si>
  <si>
    <t>978-5-378-33394-3</t>
  </si>
  <si>
    <t>9785378333943</t>
  </si>
  <si>
    <t>СЕРИЯ: ПРОПИСЬ С ТРЕНАЖЁРАМИ ДЛЯ ПИСЬМА глянц.ламин, картон.обл 140х200</t>
  </si>
  <si>
    <t>225652</t>
  </si>
  <si>
    <t>ПРОПИСЬ С ТРЕНАЖЁРАМИ ДЛЯ ПИСЬМА. Готовим руку к письму</t>
  </si>
  <si>
    <t>978-5-378-34683-7</t>
  </si>
  <si>
    <t>Пропись с тренажёрами для письма - это уникальное учебное пособие, разработанное для дошкольников и школьников 1 класса. Каждая пропись содержит 24 страницы, наполненные разнообразными упражнениями, которые помогут детям освоить основы письма.
Эти прописи не только помогают развить навыки письма, но и способствуют улучшению координации движений рук и глаз, что является ключевым фактором в обучении письму. Упражнения разработаны таким образом, чтобы дети могли легко и интересно осваивать каждую букву алфавита, а также практиковать написание слов и предложений. В комплект к каждой прописи входит 3 насадки-рыбки на карандаш или ручку. Они помогут сформировать правильный хват пишущего инструмента.</t>
  </si>
  <si>
    <t>9785378346837</t>
  </si>
  <si>
    <t>21.11.2024 0:00:00</t>
  </si>
  <si>
    <t>170х200х10</t>
  </si>
  <si>
    <t>225647</t>
  </si>
  <si>
    <t>ПРОПИСЬ С ТРЕНАЖЁРАМИ ДЛЯ ПИСЬМА. Печатные буквы</t>
  </si>
  <si>
    <t>978-5-378-34684-4</t>
  </si>
  <si>
    <t>9785378346844</t>
  </si>
  <si>
    <t>225649</t>
  </si>
  <si>
    <t>ПРОПИСЬ С ТРЕНАЖЁРАМИ ДЛЯ ПИСЬМА. Пишем слоги и слова</t>
  </si>
  <si>
    <t>978-5-378-34685-1</t>
  </si>
  <si>
    <t>9785378346851</t>
  </si>
  <si>
    <t>225651</t>
  </si>
  <si>
    <t>ПРОПИСЬ С ТРЕНАЖЁРАМИ ДЛЯ ПИСЬМА. Прописные буквы</t>
  </si>
  <si>
    <t>978-5-378-34686-8</t>
  </si>
  <si>
    <t>9785378346868</t>
  </si>
  <si>
    <t>СЕРИЯ: СОВЕТСКИЕ ПРОПИСИ мелов.обл. 163х208</t>
  </si>
  <si>
    <t>194584</t>
  </si>
  <si>
    <t>СОВЕТСКИЕ ПРОПИСИ. ПИШЕМ БУКВЫ И СЛОВА</t>
  </si>
  <si>
    <t>978-5-378-33986-0</t>
  </si>
  <si>
    <t>Данная пропись основана на комплексном подходе и принципах
советской и дореволюционной школ, но с учётом современных
образовательных требований. Прежде всего пособие направлено на
формирование красивого почерка у каждого ребёнка. На первом этапе
она познакомит детей с буквами, поможет понять их строение и освоить
способы начертания. Следующим шагом ребята научатся соединять буквы.
Уникальность данной прописи заключается в двух вариантах разлиновки, способствующей более быстрому пониманию и усвоению материала.</t>
  </si>
  <si>
    <t>9785378339860</t>
  </si>
  <si>
    <t>163х208х3</t>
  </si>
  <si>
    <t>194585</t>
  </si>
  <si>
    <t>СОВЕТСКИЕ ПРОПИСИ. ПИШЕМ СЛОВА И ПРЕДЛОЖЕНИЯ</t>
  </si>
  <si>
    <t>978-5-378-33987-7</t>
  </si>
  <si>
    <t>Данная пропись основана на комплексном подходе и принципах
советской и дореволюционной школ, но с учётом современных образовательных требований. Пособие направлено на дальнейшее обучение связному письму с демонстрацией различных вариантов
соединений и на закрепление полученных навыков, наработку плавности, скорописи, автоматизации написания букв.</t>
  </si>
  <si>
    <t>9785378339877</t>
  </si>
  <si>
    <t>СЕРИЯ: ЧИСТОПИСАНИЕ глянц.ламин. картон.обл. 165х225</t>
  </si>
  <si>
    <t>220597</t>
  </si>
  <si>
    <t>ЧИСТОПИСАНИЕ. Буквы, слоги и соединения</t>
  </si>
  <si>
    <t>978-5-378-34561-8</t>
  </si>
  <si>
    <t xml:space="preserve">Вы держите в руках тренажёр по чистописанию с тренировочными заданиями по русскому языку для учеников 1-2 классов. 
Благодаря системному подходу и разным вариантам разлиновки, школьник освоит структуру букв, научится писать отрывисто и слитно, освоит разные способы соединения букв, приобретёт навыки осознанного письма, скорописи, сформирует аккуратный и разборчивый почерк, а также проверит себя по основным темам русского языка. </t>
  </si>
  <si>
    <t>9785378345618</t>
  </si>
  <si>
    <t>18c06019a3e744b622befff7f34ad2af</t>
  </si>
  <si>
    <t>165х225х3</t>
  </si>
  <si>
    <t>220598</t>
  </si>
  <si>
    <t>ЧИСТОПИСАНИЕ. Учимся грамотно писать!</t>
  </si>
  <si>
    <t>978-5-378-34562-5</t>
  </si>
  <si>
    <t xml:space="preserve">Вы держите в руках тренажёр по чистописанию с тренировочными заданиями по русскому языку для учеников 3-4 классов. 
Благодаря системному подходу,школьник сформирует аккуратный и разборчивый почерк, а также проверит себя по основным темам русского языка. </t>
  </si>
  <si>
    <t>9785378345625</t>
  </si>
  <si>
    <t>5f7c8bc1de283bf728f533ea390c31ba</t>
  </si>
  <si>
    <t>РАЗВИВАЮЩИЕ И ОБУЧАЮЩИЕ ПОСОБИЯ</t>
  </si>
  <si>
    <t>CЕРИЯ: АЗБУКА</t>
  </si>
  <si>
    <t>150780</t>
  </si>
  <si>
    <t>АКТИВИТИ-АЗБУКА с наклейками, картон.обл, глянц.ламин, мелов. бум. 195х275</t>
  </si>
  <si>
    <t>978-5-378-30999-3</t>
  </si>
  <si>
    <t>Запоминать буквы гораздо веселее, выполняя интересные задания. Активити-азбука с многоразовыми наклейками поможет легко выучить русский алфавит и с пользой провести время. Яркие картинки с оригинальными смешными персонажами понравятся ребёнку, а занимательные головоломки разовьют внимание, память, логику и другие важные знания.</t>
  </si>
  <si>
    <t>9785378309993</t>
  </si>
  <si>
    <t>CЕРИЯ: АЛЬБОМ ПО РАЗВИТИЮ РЕЧИ 64 стр. картон.обл, 280х200</t>
  </si>
  <si>
    <t>245252</t>
  </si>
  <si>
    <t>АЛЬБОМ ПО РАЗВИТИЮ РЕЧИ 280х200</t>
  </si>
  <si>
    <t>978-5-378-35332-3</t>
  </si>
  <si>
    <t>«Альбом по развитию речи» предназначен для детей дошкольного возраста. Яркие красочные иллюстрации понятны малышам. Оптимальное количество страниц не отпугнёт ребёнка от занятий, а вызовет интерес и желание к обучению. Работу с данным пособием можно организовывать по принципу: одна неделя — одна тема. В лёгкой игровой форме ребёнок изучит 20 тем и при этом разовьёт образное и логическое мышление, внимание и кругозор, связную речь и словарный запас, сформирует лексико-грамматические представления. Но это не значит, что после прохождения всех тем пособие больше не понадобится. Его можно использовать каждый год, повторяя и усложняя задания, систематизируя полученные ранее знания. Также эта книга поможет родителям и педагогам при подготовке детей к школе.</t>
  </si>
  <si>
    <t>9785378353323</t>
  </si>
  <si>
    <t>43d012a64ebfc8d069b0872fcc360e50</t>
  </si>
  <si>
    <t>280х200х5</t>
  </si>
  <si>
    <t>СЕРИЯ: 100 ЗАДАНИЙ глянц.ламин. картон.обл. 202х280</t>
  </si>
  <si>
    <t>193456</t>
  </si>
  <si>
    <t>100 ЗАДАНИЙ. ЗНАКОМИМСЯ С ЦИФРАМИ</t>
  </si>
  <si>
    <t>978-5-378-33965-5</t>
  </si>
  <si>
    <t>Серия брошюр для всестороннего развития ребёнка поможет легко и с удовольствием подготовиться к школе, расширить кругозор и развить необходимые для обучения навыки. Благодаря равномерному распределению учебных и игровых заданий Ваш ребёнок легко усвоит материал, а условное разделение по возрастам и темам поможет подобрать индивидуальный маршрут развития ученика. Познавайте с удовольствием!</t>
  </si>
  <si>
    <t>9785378339655</t>
  </si>
  <si>
    <t>202х280х5</t>
  </si>
  <si>
    <t>СЕРИЯ: 365 глянц.ламин, картон.обл, КБС 210х275</t>
  </si>
  <si>
    <t>183456</t>
  </si>
  <si>
    <t xml:space="preserve">365 ГОЛОВОЛОМОК </t>
  </si>
  <si>
    <t>978-5-378-33358-5</t>
  </si>
  <si>
    <t xml:space="preserve">365 головоломок – это сборник увлекательных лабиринтов, игр, головоломок на каждый день! Разнообразные задания помогут ребёнку не только весело провести время, но и развить логическое мышление, память, внимание и творческое воображение. </t>
  </si>
  <si>
    <t>9785378333585</t>
  </si>
  <si>
    <t>210х275х9</t>
  </si>
  <si>
    <t>СЕРИЯ: IQ ТЕТРАДЬ мелов.обл. 165х205</t>
  </si>
  <si>
    <t>236344</t>
  </si>
  <si>
    <t>IQ ТЕТРАДЬ. В КОРОЛЕВСТВЕ МАТЕМАТИКИ</t>
  </si>
  <si>
    <t>978-5-378-34916-6</t>
  </si>
  <si>
    <t>Весёлые герои Айка и Кьюш приглашают тебя в удивительный мир головоломок, игр, задач и ребусов. Тебе пригодятся внимательность, находчивость, логика и математические навыки, чтобы справиться со всеми испытаниями во время увлекательного путешествия по страницам IQ-тетради.</t>
  </si>
  <si>
    <t>9785378349166</t>
  </si>
  <si>
    <t>f6aaa372f8ecdc562f64d7eef44db88f</t>
  </si>
  <si>
    <t>165х205х1</t>
  </si>
  <si>
    <t>236346</t>
  </si>
  <si>
    <t>IQ ТЕТРАДЬ. ЗАДАЧКИ НА МЫШЛЕНИЕ И СМЕКАЛКУ</t>
  </si>
  <si>
    <t>978-5-378-34918-0</t>
  </si>
  <si>
    <t>9785378349180</t>
  </si>
  <si>
    <t>223975da008bbd8bed197868031d8cff</t>
  </si>
  <si>
    <t>236347</t>
  </si>
  <si>
    <t>IQ ТЕТРАДЬ. УМНЫЕ ИГРЫ И ЗАДАНИЯ</t>
  </si>
  <si>
    <t>978-5-378-34919-7</t>
  </si>
  <si>
    <t>9785378349197</t>
  </si>
  <si>
    <t>6e6bc75ec5acf9a125694125795b7cc4</t>
  </si>
  <si>
    <t>СЕРИЯ: IQ-КРОССВОРДЫ глянц.ламин. КБС 210х145</t>
  </si>
  <si>
    <t>198696</t>
  </si>
  <si>
    <t>IQ-КРОССВОРДЫ. ЗАДАНИЯ ПРО ЖИВОТНЫХ ОТ А ДО Я</t>
  </si>
  <si>
    <t>978-5-378-34137-5</t>
  </si>
  <si>
    <t>IQ-кроссворды - брошюры для тех, кто любит проводить время весело и полезно! Внутри каждой брошюрки целых 64 страницы с заданиями. В то же время она очень лёгкая и компактная, поэтому поместится в детский рюкзачок и поможет ребёнку скоротать время в дороге, в очереди в поликлинике или пока мама готовит ужин. Внутри поместились самые разные виды заданий, которые способствуют развитию воображения, мышления и памяти: кроссворды, судоку, лабиринты, сканворды, кейворды и многие другие головоломки. Соскучиться с IQ-кроссвордами не получится!</t>
  </si>
  <si>
    <t>9785378341375</t>
  </si>
  <si>
    <t>Короткова Елена Владимировна</t>
  </si>
  <si>
    <t>145х210х5</t>
  </si>
  <si>
    <t>198698</t>
  </si>
  <si>
    <t>IQ-КРОССВОРДЫ. ПОЗНАВАТЕЛЬНЫЕ ЗАДАНИЯ</t>
  </si>
  <si>
    <t>978-5-378-34135-1</t>
  </si>
  <si>
    <t>9785378341351</t>
  </si>
  <si>
    <t>СЕРИЯ: SUPER ГОЛОВОЛОМКИ на спирали, глянц.ламин.обл. 360х290</t>
  </si>
  <si>
    <t>240122</t>
  </si>
  <si>
    <t>SUPER ГОЛОВОЛОМКИ. ВЕСЁЛЫЕ ЗАДАНИЯ</t>
  </si>
  <si>
    <t>978-5-378-35202-9</t>
  </si>
  <si>
    <t>SUPER головоломки — это огромное количество занимательных игр, задач, лабиринтов, ребусов, загадок, раскрасок, а также заданий на внимание и логику. Путешествуя по страницам книги, ты сможешь побывать в древнем Египте и открытом космосе, встретить рыцарей и фей, представить себя пиратом или ковбоем, расследовать запутанное преступление и даже отправиться в джунгли на поиски сокровищ. Вперёд навстречу приключениям — с SUPER головоломками скучать не придётся!</t>
  </si>
  <si>
    <t>9785378352029</t>
  </si>
  <si>
    <t>0ad5922f1fcdea8c4798ec4d70a33795</t>
  </si>
  <si>
    <t>на спирали</t>
  </si>
  <si>
    <t>363х293х10</t>
  </si>
  <si>
    <t>240121</t>
  </si>
  <si>
    <t>SUPER ГОЛОВОЛОМКИ. ЗАНИМАТЕЛЬНЫЕ ИГРЫ</t>
  </si>
  <si>
    <t>978-5-378-35201-2</t>
  </si>
  <si>
    <t>9785378352012</t>
  </si>
  <si>
    <t>80439f614f10a8492fd8c9d4887677e9</t>
  </si>
  <si>
    <t>СЕРИЯ: SUPER КНИГА ИГР глянц.ламин.обл. 210х275</t>
  </si>
  <si>
    <t>198685</t>
  </si>
  <si>
    <t>SUPER КНИГА ИГР. ВЕСЁЛЫЕ ИГРЫ И ЗАДАНИЯ</t>
  </si>
  <si>
    <t>978-5-378-34155-9</t>
  </si>
  <si>
    <t>В новой серии "Super книги игр" вы найдёте множество увлекательных заданий - лабиринты, ребусы, раскраски по номерам, кроссворды и многое другое, что поможет с пользой провести время. Наши книги комфортного формата, вы легко сможете взять их с собой в путешествие: в машину, самолет или поезд. Мы выбирали только самые интересные задания для наших маленьких читателей. Вашему ребенку не придётся скучать!</t>
  </si>
  <si>
    <t>9785378341559</t>
  </si>
  <si>
    <t>210x275x4</t>
  </si>
  <si>
    <t>198687</t>
  </si>
  <si>
    <t>SUPER КНИГА ИГР. ЗАНИМАТЕЛЬНЫЕ ИГРЫ ДЛЯ ТРЕНИРОВКИ МОЗГА</t>
  </si>
  <si>
    <t>978-5-378-34156-6</t>
  </si>
  <si>
    <t>9785378341566</t>
  </si>
  <si>
    <t>198689</t>
  </si>
  <si>
    <t>SUPER КНИГА ИГР. ЛУЧШИЕ ИГРЫ И ГОЛОВОЛОМКИ</t>
  </si>
  <si>
    <t>978-5-378-34157-3</t>
  </si>
  <si>
    <t>9785378341573</t>
  </si>
  <si>
    <t>198690</t>
  </si>
  <si>
    <t>SUPER КНИГА ИГР. САМЫЕ ИНТЕРЕСНЫЕ ЗАДАНИЯ</t>
  </si>
  <si>
    <t>978-5-378-34158-0</t>
  </si>
  <si>
    <t>9785378341580</t>
  </si>
  <si>
    <t>СЕРИЯ: БОЛЬШАЯ КНИГА ИГР глянц.ламин, картон.обл 195х260</t>
  </si>
  <si>
    <t>049800</t>
  </si>
  <si>
    <t>БОЛЬШАЯ КНИГА ИГР. ДЛЯ ДЕВОЧЕК</t>
  </si>
  <si>
    <t>978-5-378-26740-8</t>
  </si>
  <si>
    <t>Ты держишь в руках замечательную книгу, с которой не придётся скучать. Открой её, и ты окажешься в подводном королевстве, научишься рисовать жирафа и слона, отправишься в круиз и даже смастеришь калейдоскоп!</t>
  </si>
  <si>
    <t>9785378267408</t>
  </si>
  <si>
    <t>38cf6bf1d726b281c73fd0eb953ddd08</t>
  </si>
  <si>
    <t>Большая книга игр</t>
  </si>
  <si>
    <t>195х260х3</t>
  </si>
  <si>
    <t>049801</t>
  </si>
  <si>
    <t>БОЛЬШАЯ КНИГА ИГР. ДЛЯ МАЛЬЧИКОВ</t>
  </si>
  <si>
    <t>978-5-378-26741-5</t>
  </si>
  <si>
    <t>9785378267415</t>
  </si>
  <si>
    <t>00ad1666d7e9383431e47c2c9678e967</t>
  </si>
  <si>
    <t>200310</t>
  </si>
  <si>
    <t>БОЛЬШАЯ КНИГА ИГР. ДЛЯ НАСТОЯЩИХ ДЕТЕКТИВОВ</t>
  </si>
  <si>
    <t>978-5-378-34130-6</t>
  </si>
  <si>
    <t>Добро пожаловать в мир загадок и расследований! Здесь ты узнаешь шпионские секреты, попробуешь себя в роли внимательного сыщика и разгадаешь много головоломок. Вперёд, к новым приключениям!</t>
  </si>
  <si>
    <t>9785378341306</t>
  </si>
  <si>
    <t>5b47661e801fbbc7c21048663056f181</t>
  </si>
  <si>
    <t>248052</t>
  </si>
  <si>
    <t>БОЛЬШАЯ КНИГА ИГР. КОШКИ И СОБАКИ</t>
  </si>
  <si>
    <t>978-5-378-35447-4</t>
  </si>
  <si>
    <t>Добро пожаловать в увлекательный мир наших четвероногих друзей! С помощью новой книги игр «Кошки и собаки» ты сможешь побывать на съемочной площадке фильма и настоящем концерте уличных котов, помочь собакам-пиратам отыскать клад, разгадать загадки которусалок и даже отправиться в космос с настоящими собаками-космонавтами. Тебя ждут интересные головоломки, а также множество лабиринтов, ребусов и разнообразных заданий на логику и эрудицию.</t>
  </si>
  <si>
    <t>9785378354474</t>
  </si>
  <si>
    <t>ec1051f95e613d5b20a56073f684f81b</t>
  </si>
  <si>
    <t>СЕРИЯ: БОЛЬШАЯ КНИГА КРОССВОРДОВ глянц.ламин.картон.обл. 210х265</t>
  </si>
  <si>
    <t>207192</t>
  </si>
  <si>
    <t>БОЛЬШАЯ КНИГА КРОССВОРДОВ. ИГРЫ ДЛЯ УМА</t>
  </si>
  <si>
    <t>978-5-378-34269-3</t>
  </si>
  <si>
    <t>Кроссворды, головоломки, кейворды и разнообразные задания ждут юных гениев! В новой серии "Большая книга кроссвордов" мы собрали разнообразные задания для любителей кроссвордов и головоломок. Особенности издания: лёгкая бумага кремового цвета не даёт глазам устать от чтения и решения кроссвордов, обложка покрыта глянцевой ламинацией для прочности.</t>
  </si>
  <si>
    <t>9785378342693</t>
  </si>
  <si>
    <t>3ab023ec58b16ad76ed0a2cd768ffa98</t>
  </si>
  <si>
    <t>210х265х7</t>
  </si>
  <si>
    <t>207195</t>
  </si>
  <si>
    <t>БОЛЬШАЯ КНИГА КРОССВОРДОВ. КРОССВОРДЫ И ГОЛОВОЛОМКИ</t>
  </si>
  <si>
    <t>978-5-378-34272-3</t>
  </si>
  <si>
    <t>9785378342723</t>
  </si>
  <si>
    <t>1d820ff51cc2a1ea106d2cd9163daec5</t>
  </si>
  <si>
    <t>СЕРИЯ: ВИММЕЛЬБУХ. НАЙДИ И ПОКАЖИ глянц.ламин.картон, 195х276</t>
  </si>
  <si>
    <t>230332</t>
  </si>
  <si>
    <t>ВИММЕЛЬБУХ. НАЙДИ И ПОКАЖИ. ВЕСЁЛЫЕ ИСТОРИИ</t>
  </si>
  <si>
    <t>978-5-378-34807-7</t>
  </si>
  <si>
    <t>Подарите вашему ребёнку весёлое времяпрепровождение вместе с новой серией «Виммельбух. Найди и покажи». Каждая страница наполнена детализированными картинками, которые иллюстрируют жизнь забавных персонажей и их приключения. В каждом блоке 24 яркие страницы. Эти детские книжки станут отличным подарком на любой праздник, помогут развить память и внимательность.</t>
  </si>
  <si>
    <t>9785378348077</t>
  </si>
  <si>
    <t>1f0945b5eec3d6be928ff5a58c2de947</t>
  </si>
  <si>
    <t>196x275x2</t>
  </si>
  <si>
    <t>230333</t>
  </si>
  <si>
    <t>ВИММЕЛЬБУХ. НАЙДИ И ПОКАЖИ. УВЛЕКАТЕЛЬНЫЕ ПРИКЛЮЧЕНИЯ</t>
  </si>
  <si>
    <t>978-5-378-34808-4</t>
  </si>
  <si>
    <t>9785378348084</t>
  </si>
  <si>
    <t>9d699af3ea0e7d0eaf3a0d60f6ecc574</t>
  </si>
  <si>
    <t>СЕРИЯ: ВСЁ, ЧТО ДОЛЖЕН ЗНАТЬ РЕБЁНОК КБС 200х280</t>
  </si>
  <si>
    <t>196778</t>
  </si>
  <si>
    <t>ВСЁ, ЧТО ДОЛЖЕН ЗНАТЬ РЕБЁНОК 6-7 ЛЕТ</t>
  </si>
  <si>
    <t>978-5-378-34120-7</t>
  </si>
  <si>
    <t xml:space="preserve">Брошюры «Всё, что должен знать ребёнок» для детей 4-5 и 6-7 лет подойдут для подготовки к школе, развития памяти, внимания, усидчивости и интересу к учебной деятельности. Поурочная система позволяет родителям дозировать информацию, а игровые задания способствуют хорошему усвоению учебного материала. Благодаря множеству заданий на логику и речевое развитие, родитель может активно включаться в  образовательный процесс своего ребёнка. </t>
  </si>
  <si>
    <t>9785378341207</t>
  </si>
  <si>
    <t>200х280х6</t>
  </si>
  <si>
    <t>196777</t>
  </si>
  <si>
    <t>ВСЁ, ЧТО ДОЛЖЕН ЗНАТЬ РЕБЁНОК. 4-5 ЛЕТ</t>
  </si>
  <si>
    <t>978-5-378-34119-1</t>
  </si>
  <si>
    <t>9785378341191</t>
  </si>
  <si>
    <t>СЕРИЯ: ГОДОВОЙ КУРС+СБОРНИК глянц.ламин. карт.обл.208х280</t>
  </si>
  <si>
    <t>185861</t>
  </si>
  <si>
    <t>ГОДОВОЙ КУРС 3-4 ЛЕТ (стандарт 20)</t>
  </si>
  <si>
    <t>978-5-378-33636-4</t>
  </si>
  <si>
    <t>Серия книг "Годовой курс заданий" поможет превратить обучение в лёгкую и интересную игру! В сборниках собраны все необходимые темы для развития ребёнка от 3 до 7 лет. Вместе с этими книгами ребёнок научится читать, считать, решать задачи, приобретёт навыки рисования и письма, расширит знания об окружающем мире.</t>
  </si>
  <si>
    <t>9785378336364</t>
  </si>
  <si>
    <t>3+</t>
  </si>
  <si>
    <t>208х275х7</t>
  </si>
  <si>
    <t>185862</t>
  </si>
  <si>
    <t>ГОДОВОЙ КУРС 4-5 ЛЕТ (стандарт 20)</t>
  </si>
  <si>
    <t>978-5-378-33637-1</t>
  </si>
  <si>
    <t>9785378336371</t>
  </si>
  <si>
    <t>185863</t>
  </si>
  <si>
    <t>ГОДОВОЙ КУРС 5-6 ЛЕТ (стандарт 20)</t>
  </si>
  <si>
    <t>978-5-378-33638-8</t>
  </si>
  <si>
    <t>9785378336388</t>
  </si>
  <si>
    <t>185864</t>
  </si>
  <si>
    <t>ГОДОВОЙ КУРС 6-7 ЛЕТ (стандарт 20)</t>
  </si>
  <si>
    <t>978-5-378-33639-5</t>
  </si>
  <si>
    <t>9785378336395</t>
  </si>
  <si>
    <t>185855</t>
  </si>
  <si>
    <t>ГОДОВОЙ СБОРНИК ЗАДАНИЙ 3-4 ГОДА (стандарт 20)</t>
  </si>
  <si>
    <t>978-5-378-33640-1</t>
  </si>
  <si>
    <t>Серия книг "Годовой сборник заданий" поможет превратить обучение в лёгкую и интересную игру! В сборниках собраны все необходимые темы для развития ребёнка от 3 до 7 лет. Вместе с этими книгами ребёнок научится читать, считать, решать задачи, приобретёт навыки рисования и письма, расширит знания об окружающем мире.</t>
  </si>
  <si>
    <t>9785378336401</t>
  </si>
  <si>
    <t>185856</t>
  </si>
  <si>
    <t>ГОДОВОЙ СБОРНИК ЗАДАНИЙ 4-5 ЛЕТ (стандарт 20)</t>
  </si>
  <si>
    <t>978-5-378-33641-8</t>
  </si>
  <si>
    <t>9785378336418</t>
  </si>
  <si>
    <t>185858</t>
  </si>
  <si>
    <t>ГОДОВОЙ СБОРНИК ЗАДАНИЙ 5-6 ЛЕТ (стандарт 20)</t>
  </si>
  <si>
    <t>978-5-378-33642-5</t>
  </si>
  <si>
    <t>9785378336425</t>
  </si>
  <si>
    <t>185859</t>
  </si>
  <si>
    <t>ГОДОВОЙ СБОРНИК ЗАДАНИЙ 6-7 ЛЕТ (стандарт 20)</t>
  </si>
  <si>
    <t>978-5-378-33643-2</t>
  </si>
  <si>
    <t>9785378336432</t>
  </si>
  <si>
    <t>СЕРИЯ: ГРАФИЧЕСКИЕ ДИКТАНТЫ А4 мелов.обл. 195х276</t>
  </si>
  <si>
    <t>240137</t>
  </si>
  <si>
    <t>ГРАФИЧЕСКИЕ ДИКТАНТЫ А4. ДЛЯ ДЕВОЧЕК</t>
  </si>
  <si>
    <t>978-5-378-35147-3</t>
  </si>
  <si>
    <t xml:space="preserve">Новая развивающая серия "Графические диктанты" в виде брошюр на скрепке - прекрасный инструмент для подготовки ребёнка к школе,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t>
  </si>
  <si>
    <t>9785378351473</t>
  </si>
  <si>
    <t>15ee7f299744f57676f43c45016b1fce</t>
  </si>
  <si>
    <t>195х205х2</t>
  </si>
  <si>
    <t>240135</t>
  </si>
  <si>
    <t>ГРАФИЧЕСКИЕ ДИКТАНТЫ А4. ДЛЯ МАЛЬЧИКОВ</t>
  </si>
  <si>
    <t>978-5-378-35146-6</t>
  </si>
  <si>
    <t>9785378351466</t>
  </si>
  <si>
    <t>a2e357e90905fcbc899d0b6607081384</t>
  </si>
  <si>
    <t>240139</t>
  </si>
  <si>
    <t>ГРАФИЧЕСКИЕ ДИКТАНТЫ А4. ОБО ВСЁМ НА СВЕТЕ</t>
  </si>
  <si>
    <t>978-5-378-35149-7</t>
  </si>
  <si>
    <t>9785378351497</t>
  </si>
  <si>
    <t>5ffe0e7a630dc9a386367fa8f0e76049</t>
  </si>
  <si>
    <t>240138</t>
  </si>
  <si>
    <t>ГРАФИЧЕСКИЕ ДИКТАНТЫ А4. ОТ ПРОСТОГО К СЛОЖНОМУ</t>
  </si>
  <si>
    <t>978-5-378-35148-0</t>
  </si>
  <si>
    <t>9785378351480</t>
  </si>
  <si>
    <t>c829d9167e297d50d4c0532f7278950c</t>
  </si>
  <si>
    <t>СЕРИЯ: ГРАФИЧЕСКИЕ ДИКТАНТЫ А5 мелов.обл. 165х265</t>
  </si>
  <si>
    <t>233241</t>
  </si>
  <si>
    <t>ГРАФИЧЕСКИЕ ДИКТАНТЫ А5. ДЛЯ ДЕВОЧЕК</t>
  </si>
  <si>
    <t>978-5-378-34891-6</t>
  </si>
  <si>
    <t>Новая серия развивающих брошюр на скрепке - прекрасный инструмент для подготовки к школе дошкольника,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Тетради имеют удобный формат 165х235 (чуть больше А5), 16 страниц, темы - «Для девочек», «Для мальчиков», «Транспорт», «Обо всём на свете».</t>
  </si>
  <si>
    <t>9785378348916</t>
  </si>
  <si>
    <t>ef2d3bf9bf84df4a766e782530f96ea6</t>
  </si>
  <si>
    <t>165x235x1</t>
  </si>
  <si>
    <t>233242</t>
  </si>
  <si>
    <t>ГРАФИЧЕСКИЕ ДИКТАНТЫ А5. ДЛЯ МАЛЬЧИКОВ</t>
  </si>
  <si>
    <t>978-5-378-34892-3</t>
  </si>
  <si>
    <t>9785378348923</t>
  </si>
  <si>
    <t>4ec1b1f469db1de0cfb219b3fa1376bb</t>
  </si>
  <si>
    <t>233244</t>
  </si>
  <si>
    <t>ГРАФИЧЕСКИЕ ДИКТАНТЫ А5. ОБО ВСЁМ НА СВЕТЕ</t>
  </si>
  <si>
    <t>978-5-378-34894-7</t>
  </si>
  <si>
    <t>9785378348947</t>
  </si>
  <si>
    <t>dba3882ba7cce0a10577f7966c459187</t>
  </si>
  <si>
    <t>233243</t>
  </si>
  <si>
    <t>ГРАФИЧЕСКИЕ ДИКТАНТЫ А5. ТРАНСПОРТ</t>
  </si>
  <si>
    <t>978-5-378-34893-0</t>
  </si>
  <si>
    <t>9785378348930</t>
  </si>
  <si>
    <t>85431b441b4502a787012b7ec58fa26e</t>
  </si>
  <si>
    <t>СЕРИЯ: ДЕТСКИЕ КРОССВОРДЫ И ЗАДАЧКИ ДЛЯ УМА глянц.ламин. 163х215</t>
  </si>
  <si>
    <t>229501</t>
  </si>
  <si>
    <t>ДЕТСКИЕ КРОССВОРДЫ И ЗАДАЧКИ ДЛЯ УМА. КРОССВОРДЫ</t>
  </si>
  <si>
    <t>978-5-378-34794-0</t>
  </si>
  <si>
    <t>Новая серия брошюр «Детские кроссворды и задачки для ума» не позволит заскучать вашему ребёнку! Решение головоломок учит ребенка мыслить нестандартно, формирует гибкость и критичность мышления. Под обложкой каждого издания скрываются интересные кроссворды, занимательные сканворды и филворды, а также множество ребусов, лабиринтов и разнообразных заданий на логику. Небольшой формат и вес позволяет брать книги с собой даже в дорогу, ведь они могут поместиться даже не в очень большую сумку или рюкзачок. Если какое-то задание вызовет трудности у ребенка, на последних страницах представлены ответы, с которыми он может свериться.</t>
  </si>
  <si>
    <t>9785378347940</t>
  </si>
  <si>
    <t>888df21b33ea6aa5f1364d1cdaa86096</t>
  </si>
  <si>
    <t>163х215х3</t>
  </si>
  <si>
    <t>229507</t>
  </si>
  <si>
    <t>ДЕТСКИЕ КРОССВОРДЫ И ЗАДАЧКИ ДЛЯ УМА. РЕБУСЫ</t>
  </si>
  <si>
    <t>978-5-378-34797-1</t>
  </si>
  <si>
    <t>9785378347971</t>
  </si>
  <si>
    <t>26adac785df3c914052a5a13d2d732d0</t>
  </si>
  <si>
    <t>229503</t>
  </si>
  <si>
    <t>ДЕТСКИЕ КРОССВОРДЫ И ЗАДАЧКИ ДЛЯ УМА. СКАНВОРДЫ</t>
  </si>
  <si>
    <t>978-5-378-34796-4</t>
  </si>
  <si>
    <t>9785378347964</t>
  </si>
  <si>
    <t>e5967168212613b0ec8a94234fcf91a6</t>
  </si>
  <si>
    <t>229504</t>
  </si>
  <si>
    <t>ДЕТСКИЕ КРОССВОРДЫ И ЗАДАЧКИ ДЛЯ УМА. ФИЛВОРДЫ</t>
  </si>
  <si>
    <t>978-5-378-34795-7</t>
  </si>
  <si>
    <t>9785378347957</t>
  </si>
  <si>
    <t>71b2cf95131dbd36e82d413be2db9ae4</t>
  </si>
  <si>
    <t>СЕРИЯ: КРОССВОРДЫ, ИГРЫ, РЕБУСЫ глянц.ламин. 163х210</t>
  </si>
  <si>
    <t>164946</t>
  </si>
  <si>
    <t>КРОССВОРДЫ, ИГРЫ, РЕБУСЫ. ИГРЫ ДЛЯ УМА</t>
  </si>
  <si>
    <t>978-5-378-31872-8</t>
  </si>
  <si>
    <t>С этой замечательной брошюрой не заскучает даже самый активный ребёнок. В ней собраны разнообразные головоломки, ребусы, лабиринты, графические задания, которые помогут развить смекалку и увеличить словарный запас. Если какие-либо задачи покажутся сложными, их можно сверить с ответами в конце книги. А теперь вооружайся карандашами - и за дело!</t>
  </si>
  <si>
    <t>9785378318728</t>
  </si>
  <si>
    <t>163х210х3</t>
  </si>
  <si>
    <t>164943</t>
  </si>
  <si>
    <t>КРОССВОРДЫ, ИГРЫ, РЕБУСЫ. РАЗВИВАЕМ ИНТЕЛЛЕКТ</t>
  </si>
  <si>
    <t>978-5-378-31873-5</t>
  </si>
  <si>
    <t>9785378318735</t>
  </si>
  <si>
    <t>147096</t>
  </si>
  <si>
    <t>КРОССВОРДЫ, ИГРЫ, РЕБУСЫ. РАЗВИВАЕМ ЛОГИКУ</t>
  </si>
  <si>
    <t>978-5-378-30898-9</t>
  </si>
  <si>
    <t>9785378308989</t>
  </si>
  <si>
    <t>147098</t>
  </si>
  <si>
    <t>КРОССВОРДЫ, ИГРЫ, РЕБУСЫ. РАЗВИВАЕМ МЫШЛЕНИЕ</t>
  </si>
  <si>
    <t>978-5-378-30899-6</t>
  </si>
  <si>
    <t>9785378308996</t>
  </si>
  <si>
    <t>164948</t>
  </si>
  <si>
    <t>КРОССВОРДЫ, ИГРЫ, РЕБУСЫ. РАЗВИВАЮЩИЕ ИГРЫ СО СЛОВАМИ И ЦИФРАМИ</t>
  </si>
  <si>
    <t>978-5-378-31874-2</t>
  </si>
  <si>
    <t>9785378318742</t>
  </si>
  <si>
    <t>147099</t>
  </si>
  <si>
    <t>КРОССВОРДЫ, ИГРЫ, РЕБУСЫ. ТРЕНИРУЕМ ПАМЯТЬ</t>
  </si>
  <si>
    <t>978-5-378-30900-9</t>
  </si>
  <si>
    <t>9785378309009</t>
  </si>
  <si>
    <t>164945</t>
  </si>
  <si>
    <t>КРОССВОРДЫ, ИГРЫ, РЕБУСЫ. ТРЕНИРУЕМ СООБРАЗИТЕЛЬНОСТЬ</t>
  </si>
  <si>
    <t>978-5-378-31871-1</t>
  </si>
  <si>
    <t>9785378318711</t>
  </si>
  <si>
    <t>147101</t>
  </si>
  <si>
    <t>КРОССВОРДЫ, ИГРЫ, РЕБУСЫ. УЧИМСЯ И ИГРАЕМ</t>
  </si>
  <si>
    <t>978-5-378-30901-6</t>
  </si>
  <si>
    <t>9785378309016</t>
  </si>
  <si>
    <t>СЕРИЯ: МНОГОРАЗОВАЯ ТЕТРАДЬ с заданиями, глянц.ламин. картон, кругл.углы, на гребне 205х297</t>
  </si>
  <si>
    <t>223004</t>
  </si>
  <si>
    <t>МНОГОРАЗОВАЯ ТЕТРАДЬ с заданиями. ПИШИ-СТИРАЙ-ИГРАЙ 6+</t>
  </si>
  <si>
    <t>978-5-378-34654-7</t>
  </si>
  <si>
    <t>Многоразовые тетради «Пиши-стирай-играй» — это разнообразные задания на развитие внимания, мышления, мелкой моторики и многих других навыков. Если что-то не получилось с первого раза — не беда: можно стереть и легко исправить ошибку! Рисуй, считай, решай задания, стирай и снова играй!</t>
  </si>
  <si>
    <t>9785378346547</t>
  </si>
  <si>
    <t>9524fc406aee1600590a613e954383d6</t>
  </si>
  <si>
    <t>205х297х10</t>
  </si>
  <si>
    <t>248092</t>
  </si>
  <si>
    <t>МНОГОРАЗОВЫЕ ПРОПИСИ с заданиями. ПИШИ-СТИРАЙ-ИГРАЙ. ЦИФРЫ</t>
  </si>
  <si>
    <t>978-5-378-35467-2</t>
  </si>
  <si>
    <t>Многоразовые прописи «Пиши-стирай-играй» — это разнообразные задания, направленные на изучение букв, цифр, развитие внимания, мышления и мелкой моторики. Если что-то не получилось с первого раза — не беда: можно стереть и легко исправить ошибку! Пиши, считай, выполняй задания, стирай и снова играй!</t>
  </si>
  <si>
    <t>9785378354672</t>
  </si>
  <si>
    <t>1d6525dea5b9902a9c8cc1692c59bf9f</t>
  </si>
  <si>
    <t>5+</t>
  </si>
  <si>
    <t>СЕРИЯ: МОЯ РАБОЧАЯ ТЕТРАДЬ 170х205</t>
  </si>
  <si>
    <t>124065</t>
  </si>
  <si>
    <t>МОЯ РАБОЧАЯ ТЕТРАДЬ. АНГЛИЙСКИЙ АЛФАВИТ И ЦИФРЫ</t>
  </si>
  <si>
    <t>978-5-378-29851-8</t>
  </si>
  <si>
    <t>"Моя рабочая тетрадь" - это новая обучающая серия для малышей. В каждой книги представлены различные задания на развитие памяти и внимания, мелкой моторики, речи, навыков счета и многого другого. Рабочие тетради-незаменимые помощники для дошкольников!</t>
  </si>
  <si>
    <t>9785378298518</t>
  </si>
  <si>
    <t>Моя рабочая тетрадь</t>
  </si>
  <si>
    <t>170х205х3</t>
  </si>
  <si>
    <t>124062</t>
  </si>
  <si>
    <t>МОЯ РАБОЧАЯ ТЕТРАДЬ. ГОТОВИМ РУКУ К ПИСЬМУ</t>
  </si>
  <si>
    <t>978-5-378-29854-9</t>
  </si>
  <si>
    <t>9785378298549</t>
  </si>
  <si>
    <t>4+</t>
  </si>
  <si>
    <t>113403</t>
  </si>
  <si>
    <t>МОЯ РАБОЧАЯ ТЕТРАДЬ. ОКРУЖАЮЩИЙ МИР</t>
  </si>
  <si>
    <t>978-5-378-29474-9</t>
  </si>
  <si>
    <t>9785378294749</t>
  </si>
  <si>
    <t>113404</t>
  </si>
  <si>
    <t>МОЯ РАБОЧАЯ ТЕТРАДЬ. ПЕРВАЯ МАТЕМАТИКА</t>
  </si>
  <si>
    <t>978-5-378-29475-6</t>
  </si>
  <si>
    <t>9785378294756</t>
  </si>
  <si>
    <t>124064</t>
  </si>
  <si>
    <t>МОЯ РАБОЧАЯ ТЕТРАДЬ. ПРОПИСЬ КАЛЛИГРАФИЧЕСКАЯ</t>
  </si>
  <si>
    <t>978-5-378-29852-5</t>
  </si>
  <si>
    <t>9785378298525</t>
  </si>
  <si>
    <t>124063</t>
  </si>
  <si>
    <t>МОЯ РАБОЧАЯ ТЕТРАДЬ. РАЗВИВАЕМ ЛОГИЧЕСКОЕ МЫШЛЕНИЕ</t>
  </si>
  <si>
    <t>978-5-378-29853-2</t>
  </si>
  <si>
    <t>9785378298532</t>
  </si>
  <si>
    <t>113399</t>
  </si>
  <si>
    <t>МОЯ РАБОЧАЯ ТЕТРАДЬ. РАЗВИВАЕМ МЕЛКУЮ МОТОРИКУ</t>
  </si>
  <si>
    <t>978-5-378-29470-1</t>
  </si>
  <si>
    <t>9785378294701</t>
  </si>
  <si>
    <t>113402</t>
  </si>
  <si>
    <t>МОЯ РАБОЧАЯ ТЕТРАДЬ. РАЗВИВАЕМ ПАМЯТЬ И ВНИМАНИЕ</t>
  </si>
  <si>
    <t>978-5-378-29473-2</t>
  </si>
  <si>
    <t>9785378294732</t>
  </si>
  <si>
    <t>113405</t>
  </si>
  <si>
    <t>МОЯ РАБОЧАЯ ТЕТРАДЬ. РАЗВИВАЕМ РЕЧЬ</t>
  </si>
  <si>
    <t>978-5-378-29476-3</t>
  </si>
  <si>
    <t>9785378294763</t>
  </si>
  <si>
    <t>113400</t>
  </si>
  <si>
    <t>МОЯ РАБОЧАЯ ТЕТРАДЬ. СЧЁТ ОТ 1 ДО 10</t>
  </si>
  <si>
    <t>978-5-378-29471-8</t>
  </si>
  <si>
    <t>9785378294718</t>
  </si>
  <si>
    <t>113401</t>
  </si>
  <si>
    <t>МОЯ РАБОЧАЯ ТЕТРАДЬ. УЧИМ БУКВЫ</t>
  </si>
  <si>
    <t>978-5-378-29472-5</t>
  </si>
  <si>
    <t>9785378294725</t>
  </si>
  <si>
    <t>113406</t>
  </si>
  <si>
    <t>МОЯ РАБОЧАЯ ТЕТРАДЬ. УЧИМСЯ РАЗМЫШЛЯТЬ И ПЕРЕСКАЗЫВАТЬ</t>
  </si>
  <si>
    <t>978-5-378-29477-0</t>
  </si>
  <si>
    <t>9785378294770</t>
  </si>
  <si>
    <t>СЕРИЯ: НАЙДИ И ПОКАЖИ картон.обл. КБС 195х276</t>
  </si>
  <si>
    <t>220126</t>
  </si>
  <si>
    <t>НАЙДИ И ПОКАЖИ. ИЩЕМ ВСЕЙ СЕМЬЁЙ</t>
  </si>
  <si>
    <t>978-5-378-34593-9</t>
  </si>
  <si>
    <t>Представляем сборник с увлекательными заданиями на внимание для всей семьи. Проверьте себя! Смотрите в оба!</t>
  </si>
  <si>
    <t>9785378345939</t>
  </si>
  <si>
    <t>12d3c0ea1c7e130a6916211b983a663f</t>
  </si>
  <si>
    <t>196х276х4</t>
  </si>
  <si>
    <t>СЕРИЯ: НАЙДИ И ПОКАЖИ мелов.обл. 162х230</t>
  </si>
  <si>
    <t>201366</t>
  </si>
  <si>
    <t>БРОШЮРА. НАЙДИ И ПОКАЖИ. ВЕСЁЛЫЕ ПРЯТКИ</t>
  </si>
  <si>
    <t>978-5-378-34214-3</t>
  </si>
  <si>
    <t>Представляем серию «Найди и покажи» – новые книжки с заданиями на внимание: «Веселые прятки», «Забавные гляделки», «Кто спрятался?», «Озорные потеряшки». Проверь себя! Смотри в оба!</t>
  </si>
  <si>
    <t>9785378342143</t>
  </si>
  <si>
    <t>162х230х1</t>
  </si>
  <si>
    <t>218602</t>
  </si>
  <si>
    <t>БРОШЮРА. НАЙДИ И ПОКАЖИ. НЕСКУЧНЫЕ НАХОДИЛКИ</t>
  </si>
  <si>
    <t>978-5-378-34568-7</t>
  </si>
  <si>
    <t>Представляем новые сборники серии «Найди и покажи» с увлекательными заданиями на внимание. Проверьте себя! Смотрите в оба!</t>
  </si>
  <si>
    <t>9785378345687</t>
  </si>
  <si>
    <t>88d8feb2e892642c9d7dfcd9394fb486</t>
  </si>
  <si>
    <t>201369</t>
  </si>
  <si>
    <t>БРОШЮРА. НАЙДИ И ПОКАЖИ. ОЗОРНЫЕ ПОТЕРЯШКИ</t>
  </si>
  <si>
    <t>978-5-378-34217-4</t>
  </si>
  <si>
    <t>9785378342174</t>
  </si>
  <si>
    <t>218599</t>
  </si>
  <si>
    <t>БРОШЮРА. НАЙДИ И ПОКАЖИ. Я ИДУ ИСКАТЬ</t>
  </si>
  <si>
    <t>978-5-378-34565-6</t>
  </si>
  <si>
    <t>9785378345656</t>
  </si>
  <si>
    <t>57a3816ef493d0731fc1d4fad5ad6ffd</t>
  </si>
  <si>
    <t>СЕРИЯ: НЕЙРОТРЕНАЖЁРЫ глянц.ламин, 195х276</t>
  </si>
  <si>
    <t>176666</t>
  </si>
  <si>
    <t>НЕЙРОТРЕНАЖЁРЫ. ГИМНАСТИКА ДЛЯ МОЗГА</t>
  </si>
  <si>
    <t>978-5-378-32901-4</t>
  </si>
  <si>
    <t>Нейротренажёры - это сборники, которые помогут детям адаптироваться в школе. При выполнении понятных и интересных заданий задействуются оба полушария мозга. Это влияет на развитие мышления, внимания, концентрации, речи, помогает в дальнейшем обучении ребёнка.
Цветные картинки и забавные персонажи превращают занятия в игру!</t>
  </si>
  <si>
    <t>9785378329014</t>
  </si>
  <si>
    <t>176668</t>
  </si>
  <si>
    <t>НЕЙРОТРЕНАЖЁРЫ. ИНТЕРЕСНЫЕ УРОКИ</t>
  </si>
  <si>
    <t>978-5-378-32903-8</t>
  </si>
  <si>
    <t>9785378329038</t>
  </si>
  <si>
    <t>176660</t>
  </si>
  <si>
    <t>НЕЙРОТРЕНАЖЁРЫ. ПОЛЕЗНЫЕ ЗАНЯТИЯ</t>
  </si>
  <si>
    <t>978-5-378-32900-7</t>
  </si>
  <si>
    <t>9785378329007</t>
  </si>
  <si>
    <t xml:space="preserve">СЕРИЯ: ОБУЧАЮЩИЕ КАРТОЧКИ в папке с европодвесом 170х220  </t>
  </si>
  <si>
    <t>220535</t>
  </si>
  <si>
    <t>ОБУЧАЮЩИЕ КАРТОЧКИ европодвес. АЛФАВИТ</t>
  </si>
  <si>
    <t>467-0-159-12756-7</t>
  </si>
  <si>
    <t xml:space="preserve">Серия обучающих карточек от ИД "Проф-Пресс" - развивающее пособие для индивидуальной и групповой работы с детьми. В наборе 16 двусторонних карточек: на лицевой части изображение предмета или понятия, на обороте - справочная информация, стихи и дидактические игры по теме. </t>
  </si>
  <si>
    <t>4670159127567</t>
  </si>
  <si>
    <t>170х265х6</t>
  </si>
  <si>
    <t>220544</t>
  </si>
  <si>
    <t>ОБУЧАЮЩИЕ КАРТОЧКИ европодвес. АНГЛИЙСКИЙ АЛФАВИТ</t>
  </si>
  <si>
    <t>467-0-159-12763-5</t>
  </si>
  <si>
    <t>4670159127635</t>
  </si>
  <si>
    <t>220539</t>
  </si>
  <si>
    <t>ОБУЧАЮЩИЕ КАРТОЧКИ европодвес. ДИКИЕ ЖИВОТНЫЕ</t>
  </si>
  <si>
    <t>467-0-159-12759-8</t>
  </si>
  <si>
    <t>4670159127598</t>
  </si>
  <si>
    <t>Саркисян Инна,Строителева Анна Владимировна</t>
  </si>
  <si>
    <t>220541</t>
  </si>
  <si>
    <t>ОБУЧАЮЩИЕ КАРТОЧКИ европодвес. ДИНОЗАВРЫ</t>
  </si>
  <si>
    <t>467-0-159-12761-1</t>
  </si>
  <si>
    <t>4670159127611</t>
  </si>
  <si>
    <t>Саркисян Инна</t>
  </si>
  <si>
    <t>220543</t>
  </si>
  <si>
    <t>ОБУЧАЮЩИЕ КАРТОЧКИ европодвес. ДОМАШНИЕ ЖИВОТНЫЕ</t>
  </si>
  <si>
    <t>467-0-159-12762-8</t>
  </si>
  <si>
    <t>4670159127628</t>
  </si>
  <si>
    <t>220545</t>
  </si>
  <si>
    <t>ОБУЧАЮЩИЕ КАРТОЧКИ европодвес. МАМЫ И МАЛЫШИ</t>
  </si>
  <si>
    <t>467-0-159-12764-2</t>
  </si>
  <si>
    <t>4670159127642</t>
  </si>
  <si>
    <t>Саркисян Инна,Строителева Анна Владимировна,Шелюх Ирина,Крас Ольга Владимировна</t>
  </si>
  <si>
    <t>220548</t>
  </si>
  <si>
    <t>ОБУЧАЮЩИЕ КАРТОЧКИ европодвес. ОВОЩИ, ФРУКТЫ, ЯГОДЫ</t>
  </si>
  <si>
    <t>467-0-159-12767-3</t>
  </si>
  <si>
    <t>4670159127673</t>
  </si>
  <si>
    <t>Ктиторова Екатерина Руслановна,Строителева Анна Владимировна</t>
  </si>
  <si>
    <t>220540</t>
  </si>
  <si>
    <t>ОБУЧАЮЩИЕ КАРТОЧКИ европодвес. ПИТОМЦЫ</t>
  </si>
  <si>
    <t>467-0-159-12760-4</t>
  </si>
  <si>
    <t>4670159127604</t>
  </si>
  <si>
    <t>Строителева Анна Владимировна</t>
  </si>
  <si>
    <t>220546</t>
  </si>
  <si>
    <t>ОБУЧАЮЩИЕ КАРТОЧКИ европодвес. ТЕЛО ЧЕЛОВЕКА</t>
  </si>
  <si>
    <t>467-0-159-12765-9</t>
  </si>
  <si>
    <t>4670159127659</t>
  </si>
  <si>
    <t>220547</t>
  </si>
  <si>
    <t>ОБУЧАЮЩИЕ КАРТОЧКИ европодвес. ТРАНСПОРТ</t>
  </si>
  <si>
    <t>467-0-159-12766-6</t>
  </si>
  <si>
    <t>4670159127666</t>
  </si>
  <si>
    <t>Мирошникова Татьяна,Манакова Мария Васильевна,Строителева Анна Владимировна</t>
  </si>
  <si>
    <t>220537</t>
  </si>
  <si>
    <t>ОБУЧАЮЩИЕ КАРТОЧКИ европодвес. ЦВЕТА</t>
  </si>
  <si>
    <t>467-0-159-12758-1</t>
  </si>
  <si>
    <t>4670159127581</t>
  </si>
  <si>
    <t>220536</t>
  </si>
  <si>
    <t>ОБУЧАЮЩИЕ КАРТОЧКИ европодвес. ЦИФРЫ И ФИГУРЫ</t>
  </si>
  <si>
    <t>467-0-159-12757-4</t>
  </si>
  <si>
    <t>4670159127574</t>
  </si>
  <si>
    <t>СЕРИЯ: ПЛАКАТЫ НА КАРТОНЕ, А2  (50)</t>
  </si>
  <si>
    <t>026683</t>
  </si>
  <si>
    <t>ПЛАКАТ. ЖИВОТНЫЕ АРКТИКИ И АНТАРКТИКИ</t>
  </si>
  <si>
    <t>978-5-378-17363-1</t>
  </si>
  <si>
    <t>Красочно иллюстрированные плакаты помогут вашему ребенку получить основные понятия об окружающем мире.</t>
  </si>
  <si>
    <t>9785378173631</t>
  </si>
  <si>
    <t>17.01.2017 0:00:00</t>
  </si>
  <si>
    <t>Картон</t>
  </si>
  <si>
    <t>Плакаты.</t>
  </si>
  <si>
    <t>480х665х1</t>
  </si>
  <si>
    <t>ЛИКВИДАЦИЯ ОСТАТКОВ</t>
  </si>
  <si>
    <t>080446</t>
  </si>
  <si>
    <t>ПЛАКАТ. ПРАВИЛА БЕЗОПАСНОСТИ</t>
  </si>
  <si>
    <t>978-5-378-28381-1</t>
  </si>
  <si>
    <t>Благодаря плакатам ребёнок сможет в наглядной форме изучить правила поведения, безопасности и дорожного движения, цвета и фигуры, алфавит, таблицу умножения, тело человека и планеты солнечной системы. Яркие понятные иллюстрации обратят на себя внимание ребёнка и помогут усвоить материал в увлекательной форме. Плакаты сделаны из плотного картона и имеют идеальный размер для того, чтобы повесить плакат на стену и обращаться к нему в любое удобное время.</t>
  </si>
  <si>
    <t>9785378283811</t>
  </si>
  <si>
    <t>28.03.2018 0:00:00</t>
  </si>
  <si>
    <t>СЕРИЯ: РАЗВИВАЮЩИЕ КАРТОЧКИ европодвес, 20 карточек 120х180</t>
  </si>
  <si>
    <t>224748</t>
  </si>
  <si>
    <t>РАЗВИВАЮЩИЕ КАРТОЧКИ. БУКВЫ И ЦИФРЫ</t>
  </si>
  <si>
    <t>467-0-159-14510-3</t>
  </si>
  <si>
    <t>Обучающие карточки «Буквы и цифры»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</si>
  <si>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4670159145103</t>
  </si>
  <si>
    <t>120х220х8</t>
  </si>
  <si>
    <t>207591</t>
  </si>
  <si>
    <t>РАЗВИВАЮЩИЕ КАРТОЧКИ. ДИКИЕ ЖИВОТНЫЕ</t>
  </si>
  <si>
    <t>467-0-159-05280-7</t>
  </si>
  <si>
    <t>Обучающие карточки «Дикие животные» помогут расширить кругозора ребёнка, будут способствовать развитию речи и интеллекта малыша. 
Они познакомят ребят с дикими животными,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</si>
  <si>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4670159052807</t>
  </si>
  <si>
    <t>224745</t>
  </si>
  <si>
    <t>РАЗВИВАЮЩИЕ КАРТОЧКИ. ДИНОЗАВРЫ</t>
  </si>
  <si>
    <t>467-0-159-14511-0</t>
  </si>
  <si>
    <t>Обучающие карточки «Динозавры»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</si>
  <si>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4670159145110</t>
  </si>
  <si>
    <t>224747</t>
  </si>
  <si>
    <t>РАЗВИВАЮЩИЕ КАРТОЧКИ. МОЙ ДОМ</t>
  </si>
  <si>
    <t>467-0-159-14512-7</t>
  </si>
  <si>
    <t>Обучающие карточки «Мой дом»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</si>
  <si>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4670159145127</t>
  </si>
  <si>
    <t>207595</t>
  </si>
  <si>
    <t>РАЗВИВАЮЩИЕ КАРТОЧКИ. НАСЕКОМЫЕ</t>
  </si>
  <si>
    <t>467-0-159-05282-1</t>
  </si>
  <si>
    <t>Обучающие карточки «Насекомые» помогут расширить кругозора ребёнка, будут способствовать развитию речи и интеллекта малыша. 
Они познакомят ребят с основными разновидностями насекомых,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</si>
  <si>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4670159052821</t>
  </si>
  <si>
    <t>207596</t>
  </si>
  <si>
    <t>РАЗВИВАЮЩИЕ КАРТОЧКИ. ОВОЩИ, ФРУКТЫ И ЯГОДЫ</t>
  </si>
  <si>
    <t>467-0-159-05283-8</t>
  </si>
  <si>
    <t>Обучающие карточки «Овощи, фрукты и ягоды» помогут расширить кругозора ребёнка, будут способствовать развитию речи и интеллекта малыша. Они познакомят ребят с основными видами овощей, фруктов и ягод, помогут поскорее запомнить их внешний вид. Карточки яркие, красочные, рассматривать их очень интересно, а запоминать информацию, содержащуюся на них, очень полезно!</t>
  </si>
  <si>
    <t>4670159052838</t>
  </si>
  <si>
    <t>224746</t>
  </si>
  <si>
    <t>РАЗВИВАЮЩИЕ КАРТОЧКИ. ОДЕЖДА И ОБУВЬ</t>
  </si>
  <si>
    <t>467-0-159-14513-4</t>
  </si>
  <si>
    <t>Обучающие карточки «Одежда и обувь»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</si>
  <si>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4670159145134</t>
  </si>
  <si>
    <t>207593</t>
  </si>
  <si>
    <t>РАЗВИВАЮЩИЕ КАРТОЧКИ. ТРАНСПОРТ</t>
  </si>
  <si>
    <t>467-0-159-05281-4</t>
  </si>
  <si>
    <t>Обучающие карточки «Транспорт»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</si>
  <si>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4670159052814</t>
  </si>
  <si>
    <t>224750</t>
  </si>
  <si>
    <t>РАЗВИВАЮЩИЕ КАРТОЧКИ. УЧИМСЯ ГОВОРИТЬ</t>
  </si>
  <si>
    <t>467-0-159-14514-1</t>
  </si>
  <si>
    <t>Обучающие карточки «Учимся говорить»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</si>
  <si>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4670159145141</t>
  </si>
  <si>
    <t>207598</t>
  </si>
  <si>
    <t>РАЗВИВАЮЩИЕ КАРТОЧКИ. ЦИФРЫ И ФИГУРЫ</t>
  </si>
  <si>
    <t>467-0-159-05285-2</t>
  </si>
  <si>
    <t xml:space="preserve">Обучающие карточки «Цифры и фигуры» помогут расширить кругозора ребёнка, будут способствовать развитию речи и интеллекта малыша. 
Они познакомят ребят с цифрами от 1 до 10 и основными геометрическими фигурами, помогут поскорее запомнить их внешний вид, соотносить с количеством предметов и их формой. 
Карточки яркие, красочные, рассматривать их очень интересно, а запоминать информацию, содержащуюся на них, очень полезно!
</t>
  </si>
  <si>
    <t>4670159052852</t>
  </si>
  <si>
    <t>224749</t>
  </si>
  <si>
    <t>РАЗВИВАЮЩИЕ КАРТОЧКИ. ЧИСТОГОВОРКИ</t>
  </si>
  <si>
    <t>467-0-159-14515-8</t>
  </si>
  <si>
    <t>Обучающие карточки «Чистоговорки»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</si>
  <si>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4670159145158</t>
  </si>
  <si>
    <t>Громова Людмила Александровна,Купырина Анна Михайловна,Строителева Анна Владимировна,Балуева Оксана Борисовна</t>
  </si>
  <si>
    <t>СЕРИЯ: СЛОВАРНЫЕ СЛОВА глянц.ламин. картон.обл. 195х276</t>
  </si>
  <si>
    <t>203065</t>
  </si>
  <si>
    <t>СЛОВАРНЫЕ СЛОВА. ЗАНИМАТЕЛЬНЫЕ ГОЛОВОЛОМКИ</t>
  </si>
  <si>
    <t>978-5-378-34251-8</t>
  </si>
  <si>
    <t>Серия «Словарные слова» поможет маленьким ученикам запомнить словарные слова, расширить активный словарь, развить внимательность.  
Брошюра «Экспресс-тренажёр» предлагает читателям выполнить разнообразные упражнения: вставить пропущенные буквы, соединить слово и его значение, поставить ударение, расшифровать слова. 
«Занимательные головоломки» представляют собой сборник кроссвордов и головоломок со словарными словами. Разгадывая кроссворды и играя, ребенок запомнит верное написание слов.</t>
  </si>
  <si>
    <t>9785378342518</t>
  </si>
  <si>
    <t>203063</t>
  </si>
  <si>
    <t>СЛОВАРНЫЕ СЛОВА. ЭКСПРЕСС-ТРЕНАЖЁР</t>
  </si>
  <si>
    <t>978-5-378-34250-1</t>
  </si>
  <si>
    <t>9785378342501</t>
  </si>
  <si>
    <t>СЕРИЯ: СУПЕРБОЛЬШАЯ КНИГА ИГР глянц.ламин. тверд.подложка, КБС 355х280</t>
  </si>
  <si>
    <t>213654</t>
  </si>
  <si>
    <t>СУПЕРБОЛЬШАЯ КНИГА ИГР. ВЕСЁЛЫЕ ИГРЫ И ЗАДАНИЯ</t>
  </si>
  <si>
    <t xml:space="preserve">978-5-378-34434-5 </t>
  </si>
  <si>
    <t>Перед вами книга игр в Макси-формате! Иллюстрации в каждой книге представляют из себя детализированные сюжетные картинки, выполненные в едином стиле. Оригинальные задания, раскраски, головоломки, задачки на логику — это и многое другое ждёт вас на страницах Супербольшой книги игр. В блоке отрывные листы — это сделано для того, чтобы можно было раздать детям по листику и, таким образом, занять сразу нескольких детей, например, на празднике. Благодаря большому формату задания на листе можно выполнять и вдвоём. А картонная подложка позволит рисовать в книге, даже когда рядом нет твёрдой поверхности. Ответы на задания можно найти, наведя камеру смартфона на QR-код, расположенный на заднике книги.</t>
  </si>
  <si>
    <t>9785378344345</t>
  </si>
  <si>
    <t>a3ead227be77cfd635c5b550fd6ff341</t>
  </si>
  <si>
    <t>355х280х5</t>
  </si>
  <si>
    <t>213655</t>
  </si>
  <si>
    <t>СУПЕРБОЛЬШАЯ КНИГА ИГР. ИГРЫ, ЛАБИРИНТЫ И ВЕСЁЛЫЕ ЗАДАНИЯ</t>
  </si>
  <si>
    <t xml:space="preserve">978-5-378-34433-8 </t>
  </si>
  <si>
    <t>9785378344338</t>
  </si>
  <si>
    <t>eeea91b0f12ea2b1b6897313b58783be</t>
  </si>
  <si>
    <t>213656</t>
  </si>
  <si>
    <t>СУПЕРБОЛЬШАЯ КНИГА ИГР. ЛАБИРИНТЫ, РЕБУСЫ И ГОЛОВОЛОМКИ</t>
  </si>
  <si>
    <t xml:space="preserve">978-5-378-34432-1 </t>
  </si>
  <si>
    <t>9785378344321</t>
  </si>
  <si>
    <t>5b7ba107231b56dad510172d2b7ac5e5</t>
  </si>
  <si>
    <t>213658</t>
  </si>
  <si>
    <t>СУПЕРБОЛЬШАЯ КНИГА ИГР. САМЫЕ ИНТЕРЕСНЫЕ ГОЛОВОЛОМКИ</t>
  </si>
  <si>
    <t xml:space="preserve">978-5-378-34435-2 </t>
  </si>
  <si>
    <t>9785378344352</t>
  </si>
  <si>
    <t>e05be008f4b072a0c0a3422f06c40ec4</t>
  </si>
  <si>
    <t>СЕРИЯ: ТАБЛИЦА УМНОЖЕНИЯ глянц.ламин. картон.обл. 195х276</t>
  </si>
  <si>
    <t>203056</t>
  </si>
  <si>
    <t>ТАБЛИЦА УМНОЖЕНИЯ. УМНЫЙ ТРЕНАЖЁР</t>
  </si>
  <si>
    <t>978-5-378-34249-5</t>
  </si>
  <si>
    <t>Устный счёт - ключевой навык в математике, от которого зависит скорость решения многих задач. Для того, чтобы закрепить это умение, мы создали серию тренажёров «Таблица умножения». Брошюры рассчитаны на возраст 8-10 лет. «Умный тренажёр» включает в себя подробную инструкцию по работе с таблицей Пифагора и правила умножения. На страницах тренажёра вы найдете разнообразные задания на умножение и деление для ребят, которые только начинают знакомиться с таблицей умножения. 
Выпуск «Супертренажёр» содержит большое количество примеров и задач для тренировки и отработки навыка устного табличного счёта и игровые задания.</t>
  </si>
  <si>
    <t>9785378342495</t>
  </si>
  <si>
    <t>СЕРИЯ: ТРЕНАЖЁР ПО ЧИСТОПИСАНИЮ глян.ламин,картон.обл, офсет 75гр. 165х240</t>
  </si>
  <si>
    <t>223831</t>
  </si>
  <si>
    <t>ТРЕНАЖЁР ПО ЧИСТОПИСАНИЮ. УЧИМСЯ ПИСАТЬ БУКВЫ</t>
  </si>
  <si>
    <t>978-5-378-34641-7</t>
  </si>
  <si>
    <t>Прописи серии «Тренажёр по чистописанию» помогут детям улучшить почерк, сделать его более аккуратным и разборчивым. Во время дополнительных занятий школьники смогут отработать правильное написание и соединение букв, попрактиковаться в написании словосочетаний и предложений, а также повторить и закрепить правила русского языка.</t>
  </si>
  <si>
    <t>9785378346417</t>
  </si>
  <si>
    <t>401f2f918c9837740c926aaed9ae2f6a</t>
  </si>
  <si>
    <t>19.11.2024 0:00:00</t>
  </si>
  <si>
    <t>223832</t>
  </si>
  <si>
    <t>ТРЕНАЖЁР ПО ЧИСТОПИСАНИЮ. УЧИМСЯ ПИСАТЬ ГРАМОТНО</t>
  </si>
  <si>
    <t>978-5-378-34642-4</t>
  </si>
  <si>
    <t>9785378346424</t>
  </si>
  <si>
    <t>9e61effa4ac2cf87b788abea7700f10f</t>
  </si>
  <si>
    <t>223833</t>
  </si>
  <si>
    <t>ТРЕНАЖЁР ПО ЧИСТОПИСАНИЮ. УЧИМСЯ ПИСАТЬ ПРЕДЛОЖЕНИЯ</t>
  </si>
  <si>
    <t>978-5-378-34643-1</t>
  </si>
  <si>
    <t>9785378346431</t>
  </si>
  <si>
    <t>2cb869b1be403a70f038d7f3bf4d4762</t>
  </si>
  <si>
    <t>223834</t>
  </si>
  <si>
    <t>ТРЕНАЖЁР ПО ЧИСТОПИСАНИЮ. УЧИМСЯ СОЕДИНЯТЬ БУКВЫ</t>
  </si>
  <si>
    <t>978-5-378-34644-8</t>
  </si>
  <si>
    <t>9785378346448</t>
  </si>
  <si>
    <t>087dcd0574d96c1242f9919922c0d1a5</t>
  </si>
  <si>
    <t>СЕРИЯ: ТРЕНАЖЁРЫ глянц.ламин,картон.обл.195х276</t>
  </si>
  <si>
    <t>134342</t>
  </si>
  <si>
    <t>ТРЕНАЖЁР ПО МАТЕМАТИКЕ 5+</t>
  </si>
  <si>
    <t>978-5-378-30415-8</t>
  </si>
  <si>
    <t>"Тренажёры для дошкольника"- серия брошюр, которая направлена на подготовку вашего ребёнка к школе. В брошюрах вас ждут задания разного уровня сложности, нацеленные на развитие математических способностей, а также знаний по русскому языку.</t>
  </si>
  <si>
    <t>9785378304158</t>
  </si>
  <si>
    <t>134343</t>
  </si>
  <si>
    <t>ТРЕНАЖЁР ПО РУССКОМУ 5+</t>
  </si>
  <si>
    <t>978-5-378-30417-2</t>
  </si>
  <si>
    <t>9785378304172</t>
  </si>
  <si>
    <t>134345</t>
  </si>
  <si>
    <t>ТРЕНАЖЁР ПО РУССКОМУ 7+</t>
  </si>
  <si>
    <t>978-5-378-30418-9</t>
  </si>
  <si>
    <t>9785378304189</t>
  </si>
  <si>
    <t>152869</t>
  </si>
  <si>
    <t>ТРЕНАЖЁР ПО РУССКОМУ ЯЗЫКУ 6+</t>
  </si>
  <si>
    <t>978-5-378-31096-8</t>
  </si>
  <si>
    <t>9785378310968</t>
  </si>
  <si>
    <t>183418</t>
  </si>
  <si>
    <t>ТРЕНАЖЁР ПО РУССКОМУ ЯЗЫКУ 8+</t>
  </si>
  <si>
    <t>978-5-378-33285-4</t>
  </si>
  <si>
    <t>Наши тренажёры по русскому и математике содержат задания, которые помогут школьнику закрепить новые знания. Ежедневные занятия положительно влияют на оценки в школе и уверенность ребёнка. Сборники оформлены цветными иллюстрациями и дружелюбными персонажами, благодаря чему заниматься по ним весело и интересно</t>
  </si>
  <si>
    <t>9785378332854</t>
  </si>
  <si>
    <t>СЕРИЯ: ТРЕНАЖЁРЫ ДЛЯ ШКОЛЬНИКОВ 165х225</t>
  </si>
  <si>
    <t>258285</t>
  </si>
  <si>
    <t>ТРЕНАЖЁР. СЛОВАРНЫЕ СЛОВА</t>
  </si>
  <si>
    <t>978-5-378-35671-3</t>
  </si>
  <si>
    <t>Тренажёры для школьников - отличные помощники в обучении школьников. В серии представлены "Словарные слова" и "Таблица умножения". Эти брошюры предлагают краткую выжимку полезного материала, который идеально подходит для подготовки к школе или занятий после каникул перед началом учебного года. Упражнения помогут ребенку легко освоить сложные слова и закрепить знания по математике. Набор заданий направлен на постепенное усвоение информации без перегрузки.</t>
  </si>
  <si>
    <t>9785378356713</t>
  </si>
  <si>
    <t>e8a084eef84c780a4a112386c0a7a9f8</t>
  </si>
  <si>
    <t>258282</t>
  </si>
  <si>
    <t>ТРЕНАЖЁР. ТАБЛИЦА УМНОЖЕНИЯ</t>
  </si>
  <si>
    <t>978-5-378-35672-0</t>
  </si>
  <si>
    <t>9785378356720</t>
  </si>
  <si>
    <t>4a6dba0804cfecf0c40bf75e057946c7</t>
  </si>
  <si>
    <t>РАСКРАСКИ</t>
  </si>
  <si>
    <t xml:space="preserve"> РАСКРАСКИ ПРЕМИУМ</t>
  </si>
  <si>
    <t>СЕРИЯ: РАСКРАСКА ПО НОМЕРАМ. ПРЕМИУМ КБС 210х297</t>
  </si>
  <si>
    <t>263056</t>
  </si>
  <si>
    <t>РАСКРАСКА ПО НОМЕРАМ. ПРЕМИУМ. La Decoro. Красота и уют в доме</t>
  </si>
  <si>
    <t>978-5-378-35757-4</t>
  </si>
  <si>
    <t>Погрузитесь в мир уютных интерьеров и эстетичных локаций с этой особенной раскраской, созданной в коллаборации с российским брендом «La Decoro» — известным производителем дизайнерских кашпо. Вдохновленные эстетикой бренда и его широким ассортиментом кашпо, мы собрали 100 уникальных сюжетов, где царят гармония, стиль и уют. Превосходное качество материалов делает творческий процесс по-настоящему роскошным - формат А4, обложка с глянцевой обложкой, блок состоит из 64 листов с двусторонней цветной печатью на плотной белоснежной бумаге 160 грамм.</t>
  </si>
  <si>
    <t>9785378357574</t>
  </si>
  <si>
    <t>f4acc5c1e3af2c5d7ee5ed27d8081396</t>
  </si>
  <si>
    <t>210х297х13</t>
  </si>
  <si>
    <t>270074</t>
  </si>
  <si>
    <t>РАСКРАСКА ПО НОМЕРАМ. ПРЕМИУМ. Вдохновение и гармония</t>
  </si>
  <si>
    <t>978-5-378-36005-5</t>
  </si>
  <si>
    <t>Вы держите в руках идеальную раскраску для арт-медитации, для вашего творческого и расслабляющего хобби. На каждой странице вы увидите качественное, детальное исполнение работы, благодаря которому вы почувствуете удовольствие и безмятежность. Придумайте собственные цветовые решения или вдохновляйтесь готовой палитрой!</t>
  </si>
  <si>
    <t>9785378360055</t>
  </si>
  <si>
    <t>7118c45eaa79d75c73f6eee96f3a3ff0</t>
  </si>
  <si>
    <t>210х208х12</t>
  </si>
  <si>
    <t>267385</t>
  </si>
  <si>
    <t>РАСКРАСКА ПО НОМЕРАМ. ПРЕМИУМ. Капибара и Гусь</t>
  </si>
  <si>
    <t>978-5-378-35760-4</t>
  </si>
  <si>
    <t>Представляем пополнении серии премиум-раскрасок по номерам для арт-медитации, где каждая деталь говорит о высоком качестве и заботе о вашем комфорте! Формат А4, обложка с глянцевой ламинацией, блок состоит из 64 листов с двусторонней цветной печатью на плотной белоснежной бумаге 160 грамм, 100 тематических сюжетов, а так же ответы в цвете. Это идеальный подарок для изысканного и расслабляющего хобби!</t>
  </si>
  <si>
    <t>9785378357604</t>
  </si>
  <si>
    <t>e26027c8aad51706c0e91cd9737ae64a</t>
  </si>
  <si>
    <t>263057</t>
  </si>
  <si>
    <t>РАСКРАСКА ПО НОМЕРАМ. ПРЕМИУМ. Кошечки</t>
  </si>
  <si>
    <t>978-5-378-35758-1</t>
  </si>
  <si>
    <t>Представляем премиум-раскраски по номерам для арт-медитации, где каждая деталь говорит о высоком качестве и заботе о вашем комфорте! В коллекцию входят раскраски: «La Decoro. Красота и уют в доме» для ценителей уюта и эстетики, очаровательные «Кошечки», а скоро — «Собачки» и суперстары Трендхауса «Капибара и друзья». Формат А4, обложка с глянцевой обложкой, блок состоит из 64 листов с двусторонней цветной печатью на плотной белоснежной бумаге 160 грамм, 100 тематических сюжета, а так же ответы в цвете. Это идеальный подарок для изысканного и расслабляющего хобби!</t>
  </si>
  <si>
    <t>9785378357581</t>
  </si>
  <si>
    <t>2f8bc98b4d257187cc997a6f4d50f810</t>
  </si>
  <si>
    <t>267386</t>
  </si>
  <si>
    <t>РАСКРАСКА ПО НОМЕРАМ. ПРЕМИУМ. Про любовь</t>
  </si>
  <si>
    <t>978-5-378-35940-0</t>
  </si>
  <si>
    <t>9785378359400</t>
  </si>
  <si>
    <t>bc33d7127675d876c32c766561a1bbc7</t>
  </si>
  <si>
    <t>267384</t>
  </si>
  <si>
    <t>РАСКРАСКА ПО НОМЕРАМ. ПРЕМИУМ. Собачки</t>
  </si>
  <si>
    <t>978-5-378-35759-8</t>
  </si>
  <si>
    <t>9785378357598</t>
  </si>
  <si>
    <t>0c6a8ed33d540d9e0fb1509c6354d9cf</t>
  </si>
  <si>
    <t xml:space="preserve"> РАСКРАСКИ ЭКОНОМ</t>
  </si>
  <si>
    <t>CЕРИЯ: АНИМЕ-РАСКРАСКИ эконом, 6 листов, мелов.обл. 170х260</t>
  </si>
  <si>
    <t>215462</t>
  </si>
  <si>
    <t>АНИМЕ-РАСКРАСКА. АНИМЕ ДРУЗЬЯ</t>
  </si>
  <si>
    <t>978-5-378-34500-7</t>
  </si>
  <si>
    <t xml:space="preserve">Новая серия раскрасок создана специально для фанатов Аниме. Это 8 сборников с милыми, волшебными, загадочными и романтичными персонажами Аниме. Выбери тот, который понравится именно тебе! </t>
  </si>
  <si>
    <t>9785378345007</t>
  </si>
  <si>
    <t>deac25a77456f1aae15313546f9140c2</t>
  </si>
  <si>
    <t>170х260х1</t>
  </si>
  <si>
    <t>228373</t>
  </si>
  <si>
    <t>АНИМЕ-РАСКРАСКА. АНИМЕ ПОДРУЖКИ</t>
  </si>
  <si>
    <t>978-5-378-34749-0</t>
  </si>
  <si>
    <t>9785378347490</t>
  </si>
  <si>
    <t>caff1aaceb9851485456627e20e5cd34</t>
  </si>
  <si>
    <t>228377</t>
  </si>
  <si>
    <t>АНИМЕ-РАСКРАСКА. ВОИНЫ АНИМЕ</t>
  </si>
  <si>
    <t>978-5-378-34751-3</t>
  </si>
  <si>
    <t>9785378347513</t>
  </si>
  <si>
    <t>1432b70a68fe0011a198420151cbc2a0</t>
  </si>
  <si>
    <t>215466</t>
  </si>
  <si>
    <t>АНИМЕ-РАСКРАСКА. ВОЛШЕБНОЕ АНИМЕ</t>
  </si>
  <si>
    <t>978-5-378-34505-2</t>
  </si>
  <si>
    <t>9785378345052</t>
  </si>
  <si>
    <t>638ab98e8d917691f4278bd03da9469d</t>
  </si>
  <si>
    <t>215467</t>
  </si>
  <si>
    <t>АНИМЕ-РАСКРАСКА. ДЕВОЧКИ АНИМЕ</t>
  </si>
  <si>
    <t>978-5-378-34506-9</t>
  </si>
  <si>
    <t>9785378345069</t>
  </si>
  <si>
    <t>46d8c13efc9453465b054110e6654b81</t>
  </si>
  <si>
    <t>228379</t>
  </si>
  <si>
    <t>АНИМЕ-РАСКРАСКА. КЕМОНОМИМИ</t>
  </si>
  <si>
    <t>978-5-378-34752-0</t>
  </si>
  <si>
    <t>9785378347520</t>
  </si>
  <si>
    <t>a79e9a44b35083a242a5bd17c3e2af23</t>
  </si>
  <si>
    <t>215468</t>
  </si>
  <si>
    <t>АНИМЕ-РАСКРАСКА. МАЛЫШКИ ЧИБИ</t>
  </si>
  <si>
    <t>978-5-378-34507-6</t>
  </si>
  <si>
    <t>9785378345076</t>
  </si>
  <si>
    <t>b485bc4711c1e6c0522e23ce7a8144c1</t>
  </si>
  <si>
    <t>215463</t>
  </si>
  <si>
    <t>АНИМЕ-РАСКРАСКА. МИР АНИМЕ</t>
  </si>
  <si>
    <t>978-5-378-34501-4</t>
  </si>
  <si>
    <t>9785378345014</t>
  </si>
  <si>
    <t>967883d71157ce30a08a0df882184d5d</t>
  </si>
  <si>
    <t>215469</t>
  </si>
  <si>
    <t>АНИМЕ-РАСКРАСКА. МОЁ АНИМЕ</t>
  </si>
  <si>
    <t>978-5-378-34503-8</t>
  </si>
  <si>
    <t>9785378345038</t>
  </si>
  <si>
    <t>1a69940c48908eefa52d3c8c68542bda</t>
  </si>
  <si>
    <t>215464</t>
  </si>
  <si>
    <t>АНИМЕ-РАСКРАСКА. МОЯ МАНГА</t>
  </si>
  <si>
    <t>978-5-378-34502-1</t>
  </si>
  <si>
    <t>9785378345021</t>
  </si>
  <si>
    <t>bde61074066a0a236e37f8707af0d15b</t>
  </si>
  <si>
    <t>228375</t>
  </si>
  <si>
    <t>АНИМЕ-РАСКРАСКА. СКАЗОЧНОЕ ФЭНТАЗИ</t>
  </si>
  <si>
    <t>978-5-378-34750-6</t>
  </si>
  <si>
    <t>9785378347506</t>
  </si>
  <si>
    <t>14aedae3cedcc3aba12481324b77363e</t>
  </si>
  <si>
    <t>CЕРИЯ: РАСКРАСКИ А4 эконом, 8 листов, мелов.обл., 195х276</t>
  </si>
  <si>
    <t>181508</t>
  </si>
  <si>
    <t>РАСКРАСКА А4 эконом. БОЕВЫЕ РОБОТЫ</t>
  </si>
  <si>
    <t>978-5-378-33260-1</t>
  </si>
  <si>
    <t>В новой серии раскрасок А4 малыши найдут множество интересных сюжетов и забавных картинок для раскрашивания. Дайте ребёнку цветные карандаши или краски, и он с удовольствием и пользой проведёт время!</t>
  </si>
  <si>
    <t>9785378332601</t>
  </si>
  <si>
    <t>Раскраска эконом</t>
  </si>
  <si>
    <t>183406</t>
  </si>
  <si>
    <t>РАСКРАСКА А4 эконом. БОЛЬШИЕ МАШИНЫ</t>
  </si>
  <si>
    <t>978-5-378-33335-6</t>
  </si>
  <si>
    <t>9785378333356</t>
  </si>
  <si>
    <t>141767</t>
  </si>
  <si>
    <t>РАСКРАСКА А4 эконом. В КОСМОСЕ</t>
  </si>
  <si>
    <t>978-5-378-30714-2</t>
  </si>
  <si>
    <t>9785378307142</t>
  </si>
  <si>
    <t>181509</t>
  </si>
  <si>
    <t>РАСКРАСКА А4 эконом. В СТИЛЕ АНИМЕ</t>
  </si>
  <si>
    <t>978-5-378-33261-8</t>
  </si>
  <si>
    <t>9785378332618</t>
  </si>
  <si>
    <t>228033</t>
  </si>
  <si>
    <t>РАСКРАСКА А4 эконом. В СТИЛЕ КОСПЛЕЙ</t>
  </si>
  <si>
    <t>978-5-378-34762-9</t>
  </si>
  <si>
    <t>9785378347629</t>
  </si>
  <si>
    <t>194034</t>
  </si>
  <si>
    <t>РАСКРАСКА А4 эконом. ВКУСНЯШКИ</t>
  </si>
  <si>
    <t>978-5-378-34037-8</t>
  </si>
  <si>
    <t>9785378340378</t>
  </si>
  <si>
    <t>141769</t>
  </si>
  <si>
    <t>РАСКРАСКА А4 эконом. ДЛЯ МАЛЫШЕЙ</t>
  </si>
  <si>
    <t>978-5-378-30715-9</t>
  </si>
  <si>
    <t>9785378307159</t>
  </si>
  <si>
    <t>079908</t>
  </si>
  <si>
    <t>РАСКРАСКА А4 эконом. ДЛЯ САМЫХ МАЛЕНЬКИХ</t>
  </si>
  <si>
    <t>978-5-378-28339-2</t>
  </si>
  <si>
    <t>9785378283392</t>
  </si>
  <si>
    <t>19.03.2018 0:00:00</t>
  </si>
  <si>
    <t>215991</t>
  </si>
  <si>
    <t>РАСКРАСКА А4 эконом. КАПИБАРА И ЕЁ ДРУЗЬЯ</t>
  </si>
  <si>
    <t>978-5-378-34517-5</t>
  </si>
  <si>
    <t>9785378345175</t>
  </si>
  <si>
    <t>115551</t>
  </si>
  <si>
    <t>РАСКРАСКА А4 эконом. КОНКУРС КРАСОТЫ</t>
  </si>
  <si>
    <t>978-5-378-29554-8</t>
  </si>
  <si>
    <t>9785378295548</t>
  </si>
  <si>
    <t>079912</t>
  </si>
  <si>
    <t>РАСКРАСКА А4 эконом. КРОШКИ ПОНИ</t>
  </si>
  <si>
    <t>978-5-378-28329-3</t>
  </si>
  <si>
    <t>9785378283293</t>
  </si>
  <si>
    <t>171559</t>
  </si>
  <si>
    <t>РАСКРАСКА А4 эконом. МИЛЫЕ ЗВЕРЯТА</t>
  </si>
  <si>
    <t>978-5-378-32258-9</t>
  </si>
  <si>
    <t>9785378322589</t>
  </si>
  <si>
    <t>108943</t>
  </si>
  <si>
    <t>РАСКРАСКА А4 эконом. МИЛЫЕ ПРИНЦЕССЫ</t>
  </si>
  <si>
    <t>978-5-37829251-6</t>
  </si>
  <si>
    <t>9785378292516</t>
  </si>
  <si>
    <t>181510</t>
  </si>
  <si>
    <t>РАСКРАСКА А4 эконом. МИР АВОКАДО</t>
  </si>
  <si>
    <t>978-5-378-33262-5</t>
  </si>
  <si>
    <t>9785378332625</t>
  </si>
  <si>
    <t>207037</t>
  </si>
  <si>
    <t>РАСКРАСКА А4 эконом. МИР АНИМЕ</t>
  </si>
  <si>
    <t>978-5-378-34342-3</t>
  </si>
  <si>
    <t>9785378343423</t>
  </si>
  <si>
    <t>213336</t>
  </si>
  <si>
    <t>РАСКРАСКА А4 эконом. МИР ЕДИНОРОГОВ</t>
  </si>
  <si>
    <t>978-5-378-34452-9</t>
  </si>
  <si>
    <t>9785378344529</t>
  </si>
  <si>
    <t>079917</t>
  </si>
  <si>
    <t>РАСКРАСКА А4 эконом. МИР СКАЗОК</t>
  </si>
  <si>
    <t>978-5-378-28331-6</t>
  </si>
  <si>
    <t>9785378283316</t>
  </si>
  <si>
    <t>190327</t>
  </si>
  <si>
    <t>РАСКРАСКА А4 эконом. МОРСКОЙ БОЙ</t>
  </si>
  <si>
    <t>978-5-378-33871-9</t>
  </si>
  <si>
    <t>9785378338719</t>
  </si>
  <si>
    <t>213337</t>
  </si>
  <si>
    <t>РАСКРАСКА А4 эконом. СУПЕР АНИМЕ</t>
  </si>
  <si>
    <t>978-5-378-34453-6</t>
  </si>
  <si>
    <t>9785378344536</t>
  </si>
  <si>
    <t>183399</t>
  </si>
  <si>
    <t>РАСКРАСКА А4 эконом. ЦВЕТОЧНЫЕ ФЕИ</t>
  </si>
  <si>
    <t>978-5-378-33341-7</t>
  </si>
  <si>
    <t>9785378333417</t>
  </si>
  <si>
    <t>115553</t>
  </si>
  <si>
    <t>РАСКРАСКА А4 эконом. ЧУДЕСНЫЕ ЕДИНОРОГИ</t>
  </si>
  <si>
    <t>978-5-378-29557-9</t>
  </si>
  <si>
    <t>9785378295579</t>
  </si>
  <si>
    <t>CЕРИЯ: РАСКРАСКИ А5 альбомные, эконом, 8 листов, мелов.обл., 200х140</t>
  </si>
  <si>
    <t>206544</t>
  </si>
  <si>
    <t>РАСКРАСКИ А5 эконом. альбомные. АНИМЕ</t>
  </si>
  <si>
    <t>978-5-378-34327-0</t>
  </si>
  <si>
    <t>Представляем маленькие альбомные раскраски в эконом-сегменте. В каждой 16-страничной книжке, в зависимости от темы, собраны самые разные сюжеты — оживляя их красками, юный художник не потеряет интерес до самого конца раскрашивания.</t>
  </si>
  <si>
    <t>9785378343270</t>
  </si>
  <si>
    <t>206551</t>
  </si>
  <si>
    <t>РАСКРАСКИ А5 эконом. альбомные. В МИРЕ БУКАШЕК</t>
  </si>
  <si>
    <t>978-5-378-34333-1</t>
  </si>
  <si>
    <t>9785378343331</t>
  </si>
  <si>
    <t>206548</t>
  </si>
  <si>
    <t>РАСКРАСКИ А5 эконом. альбомные. ВКУСНЯШКИ</t>
  </si>
  <si>
    <t>978-5-378-34330-0</t>
  </si>
  <si>
    <t>9785378343300</t>
  </si>
  <si>
    <t>206554</t>
  </si>
  <si>
    <t>РАСКРАСКИ А5 эконом. альбомные. ДЛЯ ДЕВОЧЕК (новая)</t>
  </si>
  <si>
    <t>978-5-378-34336-2</t>
  </si>
  <si>
    <t>9785378343362</t>
  </si>
  <si>
    <t>206553</t>
  </si>
  <si>
    <t>РАСКРАСКИ А5 эконом. альбомные. ЗАБАВНЫЕ ЖИВОТНЫЕ</t>
  </si>
  <si>
    <t>978-5-378-34335-5</t>
  </si>
  <si>
    <t>9785378343355</t>
  </si>
  <si>
    <t>206547</t>
  </si>
  <si>
    <t>РАСКРАСКИ А5 эконом. альбомные. КАВАЙИ</t>
  </si>
  <si>
    <t>978-5-378-34329-4</t>
  </si>
  <si>
    <t>9785378343294</t>
  </si>
  <si>
    <t>110674</t>
  </si>
  <si>
    <t>РАСКРАСКИ А5 эконом. альбомные. МОИ ИГРУШКИ</t>
  </si>
  <si>
    <t>978-5-378-29295-0</t>
  </si>
  <si>
    <t>В новой серии удобных мини-раскрасок малыши найдут множество интересных сюжетов и забавных картинок для раскрашивания.</t>
  </si>
  <si>
    <t>9785378292950</t>
  </si>
  <si>
    <t>206549</t>
  </si>
  <si>
    <t>РАСКРАСКИ А5 эконом. альбомные. НАША АРМИЯ</t>
  </si>
  <si>
    <t>978-5-378-34331-7</t>
  </si>
  <si>
    <t>9785378343317</t>
  </si>
  <si>
    <t>206539</t>
  </si>
  <si>
    <t>РАСКРАСКИ А5 эконом. альбомные. ТРАНСПОРТ (новая)</t>
  </si>
  <si>
    <t>978-5-378-34322-5</t>
  </si>
  <si>
    <t>9785378343225</t>
  </si>
  <si>
    <t>CЕРИЯ: РАСКРАСКИ А5 эконом ВЕСЁЛЫЕ КАРТИНКИ, 8 листов, мелов.обл., 140х200</t>
  </si>
  <si>
    <t>185663</t>
  </si>
  <si>
    <t>РАСКРАСКИ А5 эконом ВЕСЁЛЫЕ КАРТИНКИ. ВЕСЁЛОЕ ПУТЕШЕСТВИЕ</t>
  </si>
  <si>
    <t>978-5-378-33622-7</t>
  </si>
  <si>
    <t>Хотите занять ребёнка в дороге или на обеде в кафе? Возьмите с собой раскраски мини-формата «Весёлые картинки». Они не занимают много места и прекрасно помещаются в сумку или рюкзак. Интересные иллюстрации не дадут малышу заскучать, а вы сможете заняться своими делами.</t>
  </si>
  <si>
    <t>9785378336227</t>
  </si>
  <si>
    <t>140х200х2</t>
  </si>
  <si>
    <t>185658</t>
  </si>
  <si>
    <t>РАСКРАСКИ А5 эконом ВЕСЁЛЫЕ КАРТИНКИ. ВРЕМЕНА ГОДА</t>
  </si>
  <si>
    <t>978-5-378-33618-0</t>
  </si>
  <si>
    <t>9785378336180</t>
  </si>
  <si>
    <t>185664</t>
  </si>
  <si>
    <t>РАСКРАСКИ А5 эконом ВЕСЁЛЫЕ КАРТИНКИ. ДИНОЗАВРИКИ</t>
  </si>
  <si>
    <t>978-5-378-33623-4</t>
  </si>
  <si>
    <t>9785378336234</t>
  </si>
  <si>
    <t>185662</t>
  </si>
  <si>
    <t>РАСКРАСКИ А5 эконом ВЕСЁЛЫЕ КАРТИНКИ. ДЛЯ ДЕВОЧЕК</t>
  </si>
  <si>
    <t>978-5-378-33621-0</t>
  </si>
  <si>
    <t>9785378336210</t>
  </si>
  <si>
    <t>185666</t>
  </si>
  <si>
    <t>РАСКРАСКИ А5 эконом ВЕСЁЛЫЕ КАРТИНКИ. РОБОТЫ</t>
  </si>
  <si>
    <t>978-5-378-33625-8</t>
  </si>
  <si>
    <t>9785378336258</t>
  </si>
  <si>
    <t>CЕРИЯ: РАСКРАСКИ А5 эконом МАЛЕНЬКАЯ РАСКРАСКА, 8 листов, мелов.обл., 140х200</t>
  </si>
  <si>
    <t>193287</t>
  </si>
  <si>
    <t>РАСКРАСКИ А5 эконом МАЛЕНЬКАЯ РАСКРАСКА. ДЛЯ МАЛЫШЕЙ</t>
  </si>
  <si>
    <t>978-5-378-34001-9</t>
  </si>
  <si>
    <t>Маленькая раскраска- это простые и понятные для малышей картинки, которые прекрасно подойдут для первых рисунков. Благодаря удобному формату раскраски можно взять с собой, чтобы занять ребёнка в пути.</t>
  </si>
  <si>
    <t>9785378340019</t>
  </si>
  <si>
    <t>CЕРИЯ: РАСКРАСКИ А5 эконом, 8 листов, мелов.обл., 140х200</t>
  </si>
  <si>
    <t>082320</t>
  </si>
  <si>
    <t>РАСКРАСКА А5 эконом. АЗБУКА</t>
  </si>
  <si>
    <t>978-5-378-28465-8</t>
  </si>
  <si>
    <t>В новой серии раскрасок А5 малыши найдут множество интересных сюжетов и забавных картинок для раскрашивания. А благодаря уменьшенному формату их удобно брать с собой в дорогу, чтобы занять маленьких непосед в пути.</t>
  </si>
  <si>
    <t>9785378284658</t>
  </si>
  <si>
    <t>03.05.2018 0:00:00</t>
  </si>
  <si>
    <t>079933</t>
  </si>
  <si>
    <t>РАСКРАСКА А5 эконом. БРЕМЕНСКИЕ МУЗЫКАНТЫ</t>
  </si>
  <si>
    <t>978-5-378-28242-5</t>
  </si>
  <si>
    <t>9785378282425</t>
  </si>
  <si>
    <t>206588</t>
  </si>
  <si>
    <t>РАСКРАСКА А5 эконом. ВОЕННАЯ ТЕХНИКА</t>
  </si>
  <si>
    <t>978-5-378-34310-2</t>
  </si>
  <si>
    <t>Всеми любимая серия из 16 мини-раскрасок формата А5 в обновлённой версии с множеством трендовых сюжетов для детей младшего, дошкольного и младшего школьного возрастов поможет ребёнку развить внимание и усидчивость, воображение и творчество. Раскраски удобно взять с собой в путешествие или на прогулку, подойдут в качестве подарка на день рождения или в детский сад и школу.</t>
  </si>
  <si>
    <t>9785378343102</t>
  </si>
  <si>
    <t>206575</t>
  </si>
  <si>
    <t>РАСКРАСКА А5 эконом. ВОЛШЕБНЫЙ МИР</t>
  </si>
  <si>
    <t>978-5-378-34301-0</t>
  </si>
  <si>
    <t>9785378343010</t>
  </si>
  <si>
    <t>111960</t>
  </si>
  <si>
    <t>РАСКРАСКА А5 эконом. ДЕВОЧКИ</t>
  </si>
  <si>
    <t>978-5-378-29316-2</t>
  </si>
  <si>
    <t>Новые раскраски удобного мини-формата для девочек и мальчиков!</t>
  </si>
  <si>
    <t>9785378293162</t>
  </si>
  <si>
    <t>111961</t>
  </si>
  <si>
    <t>РАСКРАСКА А5 эконом. ДИНОЗАВРИКИ</t>
  </si>
  <si>
    <t>978-5-378-29317-9</t>
  </si>
  <si>
    <t>9785378293179</t>
  </si>
  <si>
    <t>206571</t>
  </si>
  <si>
    <t>РАСКРАСКА А5 эконом. ДЛЯ ДЕВОЧЕК (новая)</t>
  </si>
  <si>
    <t>978-5-378-34297-6</t>
  </si>
  <si>
    <t>9785378342976</t>
  </si>
  <si>
    <t>206572</t>
  </si>
  <si>
    <t>РАСКРАСКА А5 эконом. ДЛЯ МАЛЬЧИКОВ (новая)</t>
  </si>
  <si>
    <t>978-5-378-34298-3</t>
  </si>
  <si>
    <t>9785378342983</t>
  </si>
  <si>
    <t>111962</t>
  </si>
  <si>
    <t>РАСКРАСКА А5 эконом. ЖИВОТНЫЕ</t>
  </si>
  <si>
    <t>978-5-378-29318-6</t>
  </si>
  <si>
    <t>9785378293186</t>
  </si>
  <si>
    <t>082317</t>
  </si>
  <si>
    <t>РАСКРАСКА А5 эконом. ЗАБАВНЫЕ ЗВЕРЯТА</t>
  </si>
  <si>
    <t>978-5-378-28466-5</t>
  </si>
  <si>
    <t>9785378284665</t>
  </si>
  <si>
    <t>082313</t>
  </si>
  <si>
    <t>РАСКРАСКА А5 эконом. КОТ В САПОГАХ</t>
  </si>
  <si>
    <t>978-5-378-28468-9</t>
  </si>
  <si>
    <t>9785378284689</t>
  </si>
  <si>
    <t>150736</t>
  </si>
  <si>
    <t>РАСКРАСКА А5 эконом. КОТИКИ</t>
  </si>
  <si>
    <t>978-5-378-31006-7</t>
  </si>
  <si>
    <t>9785378310067</t>
  </si>
  <si>
    <t>206583</t>
  </si>
  <si>
    <t>РАСКРАСКА А5 эконом. КРУТЫЕ ГОНКИ</t>
  </si>
  <si>
    <t>978-5-378-34306-5</t>
  </si>
  <si>
    <t>9785378343065</t>
  </si>
  <si>
    <t>082312</t>
  </si>
  <si>
    <t>РАСКРАСКА А5 эконом. КРУТЫЕ ТАЧКИ</t>
  </si>
  <si>
    <t>978-5-378-28474-0</t>
  </si>
  <si>
    <t>9785378284740</t>
  </si>
  <si>
    <t>079940</t>
  </si>
  <si>
    <t>РАСКРАСКА А5 эконом. КТО ЖИВЕТ В ОКЕАНЕ</t>
  </si>
  <si>
    <t>978-5-378-28236-4</t>
  </si>
  <si>
    <t>9785378282364</t>
  </si>
  <si>
    <t>206581</t>
  </si>
  <si>
    <t>РАСКРАСКА А5 эконом. МАШИНКИ-МАЛЫШИ</t>
  </si>
  <si>
    <t>978-5-378-34305-8</t>
  </si>
  <si>
    <t>9785378343058</t>
  </si>
  <si>
    <t>206584</t>
  </si>
  <si>
    <t>РАСКРАСКА А5 эконом. МАШИНЫ-РОБОТЫ</t>
  </si>
  <si>
    <t>978-5-378-34307-2</t>
  </si>
  <si>
    <t>9785378343072</t>
  </si>
  <si>
    <t>206587</t>
  </si>
  <si>
    <t>РАСКРАСКА А5 эконом. МИЛЫЕ МОНСТРИКИ</t>
  </si>
  <si>
    <t>978-5-378-34309-6</t>
  </si>
  <si>
    <t>9785378343096</t>
  </si>
  <si>
    <t>206573</t>
  </si>
  <si>
    <t>РАСКРАСКА А5 эконом. МИР ДИНОЗАВРОВ</t>
  </si>
  <si>
    <t>978-5-378-34299-0</t>
  </si>
  <si>
    <t>9785378342990</t>
  </si>
  <si>
    <t>128314</t>
  </si>
  <si>
    <t>РАСКРАСКА А5 эконом. НА ФЕРМЕ</t>
  </si>
  <si>
    <t>978-5-378-30096-9</t>
  </si>
  <si>
    <t>9785378300969</t>
  </si>
  <si>
    <t>206580</t>
  </si>
  <si>
    <t>РАСКРАСКА А5 эконом. НЯШКИ</t>
  </si>
  <si>
    <t>978-5-378-34304-1</t>
  </si>
  <si>
    <t>9785378343041</t>
  </si>
  <si>
    <t>111965</t>
  </si>
  <si>
    <t>РАСКРАСКА А5 эконом. ПИРАТЫ</t>
  </si>
  <si>
    <t>978-5-378-29326-1</t>
  </si>
  <si>
    <t>9785378293261</t>
  </si>
  <si>
    <t>150733</t>
  </si>
  <si>
    <t>РАСКРАСКА А5 эконом. ПОНИ</t>
  </si>
  <si>
    <t>978-5-378-31003-6</t>
  </si>
  <si>
    <t>9785378310036</t>
  </si>
  <si>
    <t>206576</t>
  </si>
  <si>
    <t>РАСКРАСКА А5 эконом. ПРЕКРАСНЫЕ ПРИНЦЕССЫ</t>
  </si>
  <si>
    <t>978-5-378-34302-7</t>
  </si>
  <si>
    <t>9785378343027</t>
  </si>
  <si>
    <t>150734</t>
  </si>
  <si>
    <t>РАСКРАСКА А5 эконом. ПУШИСТИКИ</t>
  </si>
  <si>
    <t>978-5-378-31004-3</t>
  </si>
  <si>
    <t>9785378310043</t>
  </si>
  <si>
    <t>079943</t>
  </si>
  <si>
    <t>РАСКРАСКА А5 эконом. РОБОТЫ</t>
  </si>
  <si>
    <t>978-5-378-28244-9</t>
  </si>
  <si>
    <t>9785378282449</t>
  </si>
  <si>
    <t>206585</t>
  </si>
  <si>
    <t>РАСКРАСКА А5 эконом. САМОЛЁТЫ</t>
  </si>
  <si>
    <t>978-5-378-34308-9</t>
  </si>
  <si>
    <t>9785378343089</t>
  </si>
  <si>
    <t>206555</t>
  </si>
  <si>
    <t>РАСКРАСКА А5 эконом. СКАЗОЧНЫЕ ФЕИ</t>
  </si>
  <si>
    <t>978-5-378-34296-9</t>
  </si>
  <si>
    <t>9785378342969</t>
  </si>
  <si>
    <t>150735</t>
  </si>
  <si>
    <t>РАСКРАСКА А5 эконом. ЩЕНОЧКИ</t>
  </si>
  <si>
    <t>978-5-378-31005-0</t>
  </si>
  <si>
    <t>9785378310050</t>
  </si>
  <si>
    <t>CЕРИЯ: РАСКРАСКИ с цветным контуром А4 эконом, 8 листов, мелов.обл., 195х276</t>
  </si>
  <si>
    <t>126695</t>
  </si>
  <si>
    <t>РАСКРАСКА с цветным контуром А4 эконом. Для мальчиков</t>
  </si>
  <si>
    <t>978-5-378-30017-4</t>
  </si>
  <si>
    <t>Раскраски с цветным контуром очно понравятся вашему малышу! Забавные герои не заставят ребёнка скучать, а цвет контура подскажет какой карандаш использовать.</t>
  </si>
  <si>
    <t>9785378300174</t>
  </si>
  <si>
    <t>2+</t>
  </si>
  <si>
    <t>CЕРИЯ: РАСКРАСКИ эконом ЛЮБИМАЯ РАСКРАСКА, 6 листов, мелов.обл. 170х260</t>
  </si>
  <si>
    <t>211305</t>
  </si>
  <si>
    <t>ЛЮБИМАЯ РАСКРАСКА эконом А4. БОЕВАЯ ТЕХНИКА</t>
  </si>
  <si>
    <t>978-5-378-34384-3</t>
  </si>
  <si>
    <t>Серия «Любимая раскраска» – это интересные сюжеты и милые картинки для раскрашивания на самые разные темы. Благодаря небольшому формату раскраску удобно взять с собой в дорогу.</t>
  </si>
  <si>
    <t>9785378343843</t>
  </si>
  <si>
    <t>51b2031434133448459a4e201a5567e1</t>
  </si>
  <si>
    <t>168х258х2</t>
  </si>
  <si>
    <t>211303</t>
  </si>
  <si>
    <t>ЛЮБИМАЯ РАСКРАСКА эконом А4. ВОЛШЕБНЫЙ МИР</t>
  </si>
  <si>
    <t>978-5-378-34382-9</t>
  </si>
  <si>
    <t>9785378343829</t>
  </si>
  <si>
    <t>5817c1bf13c3a51181788350cac26c7c</t>
  </si>
  <si>
    <t>211306</t>
  </si>
  <si>
    <t>ЛЮБИМАЯ РАСКРАСКА эконом А4. ДИНОЗАВРЫ</t>
  </si>
  <si>
    <t>978-5-378-34385-0</t>
  </si>
  <si>
    <t>9785378343850</t>
  </si>
  <si>
    <t>1b43b7761e789f30cda12da2474d59bc</t>
  </si>
  <si>
    <t>211301</t>
  </si>
  <si>
    <t>ЛЮБИМАЯ РАСКРАСКА эконом А4. МИЛАШКИ ЧИБИ</t>
  </si>
  <si>
    <t>978-5-378-34380-5</t>
  </si>
  <si>
    <t>9785378343805</t>
  </si>
  <si>
    <t>211308</t>
  </si>
  <si>
    <t>ЛЮБИМАЯ РАСКРАСКА эконом А4. НЯШКИ</t>
  </si>
  <si>
    <t>978-5-378-34387-4</t>
  </si>
  <si>
    <t>9785378343874</t>
  </si>
  <si>
    <t>3c93e7d7caf6d80f75beb64714207397</t>
  </si>
  <si>
    <t>211302</t>
  </si>
  <si>
    <t>ЛЮБИМАЯ РАСКРАСКА эконом А4. ПРЕКРАСНЫЕ ПРИНЦЕССЫ</t>
  </si>
  <si>
    <t>978-5-378-34381-2</t>
  </si>
  <si>
    <t>9785378343812</t>
  </si>
  <si>
    <t>de464cb06306c792c269fb234ef70cd2</t>
  </si>
  <si>
    <t>CЕРИЯ: РАСКРАСКИ эконом, 4 листа, обл.офсет, 215х290</t>
  </si>
  <si>
    <t>221322</t>
  </si>
  <si>
    <t>РАСКРАСКА эконом 4 листа 215х290. В СТИЛЕ АНИМЕ</t>
  </si>
  <si>
    <t>978-5-378-34606-6</t>
  </si>
  <si>
    <t>Представляем новые раскраски в эконом-сегменте. В каждой, в зависимости от темы, собраны самые разные сюжеты — оживляя их красками, маленький художник не потеряет интерес до конца раскрашивания.</t>
  </si>
  <si>
    <t>9785378346066</t>
  </si>
  <si>
    <t>215х290х1</t>
  </si>
  <si>
    <t>221323</t>
  </si>
  <si>
    <t>РАСКРАСКА эконом 4 листа 215х290. ГЕРОИ АНИМЕ</t>
  </si>
  <si>
    <t>978-5-378-34607-3</t>
  </si>
  <si>
    <t>9785378346073</t>
  </si>
  <si>
    <t>221321</t>
  </si>
  <si>
    <t>РАСКРАСКА эконом 4 листа 215х290. МИР АНИМЕ</t>
  </si>
  <si>
    <t>978-5-378-34605-9</t>
  </si>
  <si>
    <t>9785378346059</t>
  </si>
  <si>
    <t>221324</t>
  </si>
  <si>
    <t>РАСКРАСКА эконом 4 листа 215х290. МОЁ АНИМЕ</t>
  </si>
  <si>
    <t>978-5-378-34608-0</t>
  </si>
  <si>
    <t>9785378346080</t>
  </si>
  <si>
    <t xml:space="preserve"> СУПЕРРАСКРАСКИ</t>
  </si>
  <si>
    <t>СЕРИЯ: БОЛЬШАЯ РАСКРАСКА глянц.ламин. КБС 278х382</t>
  </si>
  <si>
    <t>188965</t>
  </si>
  <si>
    <t>БОЛЬШАЯ АНИМЕ РАСКРАСКА</t>
  </si>
  <si>
    <t>978-5-378-33819-1</t>
  </si>
  <si>
    <t xml:space="preserve">Вниманию любителей аниме! Представляем новую раскраску с самыми разными сюжетами, выдержанными по всем канонам жанра. Всего в сборнике 96 страниц – книга надолго увлечет не только фанатов японской анимации, но и тех, кто еще только знакомится с ней. Благодаря большому формату и плотным листам раскрашивать картинки легко не только карандашами или фломастерами, но и красками.  </t>
  </si>
  <si>
    <t>9785378338191</t>
  </si>
  <si>
    <t>280х382х8</t>
  </si>
  <si>
    <t>СЕРИЯ: БОЛЬШАЯ СУПЕРРАСКРАСКА  КБС, мат.ламин. выбор.лак. 235х330</t>
  </si>
  <si>
    <t>139036</t>
  </si>
  <si>
    <t>БОЛЬШАЯ СУПЕРРАСКРАСКА. ЖИВОТНЫЕ</t>
  </si>
  <si>
    <t>978-5-378-30668-8</t>
  </si>
  <si>
    <t>На страницах новых суперраскрасок с большими картинками ребёнка ждут милые персонажи и интересные сюжеты: полёт в космос и прогулка с динозаврами, модные примерки и поход в зоопарк...Раскрашивать их точно будет нескучно!</t>
  </si>
  <si>
    <t>9785378306688</t>
  </si>
  <si>
    <t>235х330х6</t>
  </si>
  <si>
    <t>СЕРИЯ: СУПЕР  IQ  Раскраска КБС глянц.ламин. 200х280</t>
  </si>
  <si>
    <t>183490</t>
  </si>
  <si>
    <t>СУПЕР  IQ  Раскраска. ИГРАЕМ И РИСУЕМ</t>
  </si>
  <si>
    <t>978-5-378-33387-5</t>
  </si>
  <si>
    <t>Развивайте интеллект ребёнка с ранних лет с помощью наших супер IQ-раскрасок. Интересные задания превращают обучение в игру, поэтому малыш будет с удовольствием заниматься каждый день. Раскраски данной серии рассчитаны на детей разного возраста и подойдут для дошкольников.</t>
  </si>
  <si>
    <t>9785378333875</t>
  </si>
  <si>
    <t>200х280х5</t>
  </si>
  <si>
    <t>СЕРИЯ: СУПЕР MIX РАСКРАСКА 96 стр. КБС глянц.ламин.обл.200х280</t>
  </si>
  <si>
    <t>181485</t>
  </si>
  <si>
    <t>СУПЕР MIX РАСКРАСКА. МАШИНКИ</t>
  </si>
  <si>
    <t>978-5-378-33266-3</t>
  </si>
  <si>
    <t>В серию «Супер MIX» вошли четыре тематические раскраски: «Для девочек», «Для мальчиков», «Динозавры», «Машинки». Каждая 64-страничная книжка включает несколько разделов: антистресс, виммельбух, раскраска с примерами, раскраска по номерам, буквенная раскраска. Составители нарочно разбили сборники на разные по сложности части. Просто раскрашивая элементы, можно расслабиться и отвлечься от школьных задачек, а выполняя задания, наоборот, сконцентрироваться и напрячь извилины. Будьте уверены, раскраски серии «Супер MIX» «зайдут» под любое настроение ребенка!</t>
  </si>
  <si>
    <t>9785378332663</t>
  </si>
  <si>
    <t>200х280х7</t>
  </si>
  <si>
    <t>СЕРИЯ: СУПЕР-ПУПЕР РАСКРАСКА глянц. ламин. 208х275</t>
  </si>
  <si>
    <t>154786</t>
  </si>
  <si>
    <t>СУПЕР-ПУПЕР РАСКРАСКА. ДИКИЕ ЖИВОТНЫЕ</t>
  </si>
  <si>
    <t>978-5-378-31224-5</t>
  </si>
  <si>
    <t>"Супер-пупер-раскраска" - это замечательная серия, которая станет отличным подарком для маленьких художников. В каждой раскраске много красивых, добрых, весёлых иллюстраций, выполненных на качественной бумаге. Подарите ребёнку путешествие в мир творчества!</t>
  </si>
  <si>
    <t>9785378312245</t>
  </si>
  <si>
    <t>208x275x6</t>
  </si>
  <si>
    <t>185381</t>
  </si>
  <si>
    <t>СУПЕР-ПУПЕР РАСКРАСКА. ДИНОЗАВРЫ</t>
  </si>
  <si>
    <t>978-5-378-33584-8</t>
  </si>
  <si>
    <t>Новинки в серии "Супер-пупер-раскраска!" Брошюра "Динозавры"- настоящий подарок для истиных любителей этих загадочных животных! В раскраске собраны изображения всех самых известных динозавров, только у нас они совсем не грозные, а очень милые!</t>
  </si>
  <si>
    <t>9785378335848</t>
  </si>
  <si>
    <t>154788</t>
  </si>
  <si>
    <t>СУПЕР-ПУПЕР РАСКРАСКА. ДЛЯ ДЕВОЧЕК</t>
  </si>
  <si>
    <t>978-5-378-31221-4</t>
  </si>
  <si>
    <t>9785378312214</t>
  </si>
  <si>
    <t>183508</t>
  </si>
  <si>
    <t>СУПЕР-ПУПЕР РАСКРАСКА. ДЛЯ МАЛЫШЕЙ</t>
  </si>
  <si>
    <t>978-5-378-33405-6</t>
  </si>
  <si>
    <t>Представляем новинку в серии "Супер-пупер-раскраска!" Это сборник добрых и качественных иллюстраций современных художников. В раскраске "Для малышей" собраны крупные и понятные рисунки с чёткими контурами - одно удовольствие их раскрашивать!</t>
  </si>
  <si>
    <t>9785378334056</t>
  </si>
  <si>
    <t>154787</t>
  </si>
  <si>
    <t>СУПЕР-ПУПЕР РАСКРАСКА. ДЛЯ МАЛЬЧИКОВ</t>
  </si>
  <si>
    <t>978-5-378-31222-1</t>
  </si>
  <si>
    <t>9785378312221</t>
  </si>
  <si>
    <t>154789</t>
  </si>
  <si>
    <t>СУПЕР-ПУПЕР РАСКРАСКА. ДОМАШНИЕ ЖИВОТНЫЕ</t>
  </si>
  <si>
    <t>978-5-378-31223-8</t>
  </si>
  <si>
    <t>9785378312238</t>
  </si>
  <si>
    <t>240184</t>
  </si>
  <si>
    <t>СУПЕР-ПУПЕР РАСКРАСКА. КРУТЫЕ МАЛЬЧИШКИ</t>
  </si>
  <si>
    <t>978-5-378-35206-7</t>
  </si>
  <si>
    <t>Представляем «Супер-пупер раскраску. Крутые мальчишки». Это идеальный подарок для детей, которые любят творчество! В раскраске 64 страницы с интересными иллюстрациями и захватывающими сюжетами. Каждый разворот предлагает уникальные образы смелых героев, готовых к новым свершениям. От супергероев до исследователей, от спортсменов до музыкантов! Детализированные рисунки помогут развить художественные навыки, воображение и мелкую моторику. Подарите ребёнку радость и возможность окунуться в мир творчества!</t>
  </si>
  <si>
    <t>9785378352067</t>
  </si>
  <si>
    <t>85c002dde3c93774445fc99594174167</t>
  </si>
  <si>
    <t>207600</t>
  </si>
  <si>
    <t>СУПЕР-ПУПЕР РАСКРАСКА. МИР АНИМЕ</t>
  </si>
  <si>
    <t>978-5-378-34347-8</t>
  </si>
  <si>
    <t xml:space="preserve">"Супер-пупер-раскраска" - это замечательная серия, которая станет отличным подарком для маленьких художников. В новой раскраске серии ребёнок найдёт картинки в стиле аниме, которые с удовольствием украсит яркими цветами. </t>
  </si>
  <si>
    <t>9785378343478</t>
  </si>
  <si>
    <t>183509</t>
  </si>
  <si>
    <t>СУПЕР-ПУПЕР РАСКРАСКА. МОДНЫЕ ДЕВЧОНКИ</t>
  </si>
  <si>
    <t>978-5-378-33406-3</t>
  </si>
  <si>
    <t>Представляем новинку в серии "Супер-пупер-раскраска!" Это сборник добрых и качественных иллюстраций современных художников. Раскраска "Модные девчонки" содержит иллюстрации девушек в самых разнообразных нарядах - можно пофантазировать, представить себя в каждом их них и раскрасить по своему вкусу!</t>
  </si>
  <si>
    <t>9785378334063</t>
  </si>
  <si>
    <t>185382</t>
  </si>
  <si>
    <t>СУПЕР-ПУПЕР РАСКРАСКА. РОБОТЫ И МАШИНЫ</t>
  </si>
  <si>
    <t>978-5-378-33585-5</t>
  </si>
  <si>
    <t>9785378335855</t>
  </si>
  <si>
    <t>СЕРИЯ: СУПЕРБОЛЬШАЯ РАСКРАСКА 96 стр КБС 240х300</t>
  </si>
  <si>
    <t>181512</t>
  </si>
  <si>
    <t>СУПЕРБОЛЬШАЯ РАСКРАСКА. ДЛЯ МАЛЬЧИКОВ</t>
  </si>
  <si>
    <t>978-5-378-33272-4</t>
  </si>
  <si>
    <t>На страницах новых раскрасок с большими картинками мальчишек и девчонок ждут интересные сюжеты: полёт в космос, гонки и прогулка с динозаврами, модные примерки, путешествие в сказку и спортивные соревнования... Раскрашивать будет очень интересно!</t>
  </si>
  <si>
    <t>9785378332724</t>
  </si>
  <si>
    <t>240х300х8</t>
  </si>
  <si>
    <t>СЕРИЯ: СУПЕРРАСКРАСКА 64 стр. КБС глянц.ламин.обл.200х280</t>
  </si>
  <si>
    <t>125984</t>
  </si>
  <si>
    <t>СУПЕРРАСКРАСКА. ВОЛШЕБНЫЕ ЛОШАДКИ</t>
  </si>
  <si>
    <t>978-5-378-29846-4</t>
  </si>
  <si>
    <t>Серия раскрасок "Суперраскраска"-идеальный подарок для маленьких любителей рисования. Внутри так много картинок: красивые пони и единороги, весёлые животные и дружелюбные динозавры. Ни один малыш не останется равнодушным и каждый найдёт что-то интересное для себя! Раскраски "Забавные животные", "Волшебные лошадки", "Мир динозавров" и "Для девочек" уже ждут юных художников!</t>
  </si>
  <si>
    <t>9785378298464</t>
  </si>
  <si>
    <t>124208</t>
  </si>
  <si>
    <t>СУПЕРРАСКРАСКА. ДЛЯ МАЛЫШЕЙ</t>
  </si>
  <si>
    <t>978-5-378-29848-8</t>
  </si>
  <si>
    <t>Новая серия раскрасок "Суперраскраска" - идеальный подарок для маленьких любителей рисования. Внутри так много картинок, что ни один малыш не останется равнодушен и найдёт что-то интересное для себя! Раскраски "Для мальчиков", "Транспорт", "Сказки" и "Для малышей" уже ждут юных художников!</t>
  </si>
  <si>
    <t>9785378298488</t>
  </si>
  <si>
    <t>СЕРИЯ: СУПЕРРАСКРАСКА с наклейками КБС 235х330</t>
  </si>
  <si>
    <t>166902</t>
  </si>
  <si>
    <t>СУПЕРРАСКРАСКА с наклейками. ДЛЯ МАЛЫШЕЙ</t>
  </si>
  <si>
    <t>978-5-378-31914-5</t>
  </si>
  <si>
    <t>Итак, располагайтесь поудобнее, берите в руки карандаши или фломастеры и начинайте творить! 96-страничные суперраскраски с наклейками «Для девочек», «Для мальчиков», «Для малышей» и «Забавные зверята» развивают мелкую моторику и воображение, а благодаря ярким и милым наклейкам удастся воплотить любые фантазии! В каждой книжке их 50! Можно не только дополнить картинки в раскраске, но и придать изюминку тетрадке и даже... письменному столу в детской.</t>
  </si>
  <si>
    <t>9785378319145</t>
  </si>
  <si>
    <t>235х325х6</t>
  </si>
  <si>
    <t>ВОДНЫЕ РАСКРАСКИ мелов.обл.</t>
  </si>
  <si>
    <t>СЕРИЯ: БОЛЬШАЯ ВОДНАЯ РАСКРАСКА 238х330</t>
  </si>
  <si>
    <t>157823</t>
  </si>
  <si>
    <t>БОЛЬШАЯ ВОДНАЯ РАСКРАСКА. ДИНОЗАВРЫ</t>
  </si>
  <si>
    <t>978-5-378-31075-3</t>
  </si>
  <si>
    <t>Необычные раскраски серии "Большая водная раскраска" точно понравятся вашему ребёнку. Ведь всё, что нужно для раскрашивания, - это вода и кисточка! Намочите кисточку, немного отожмите от избытка воды, проведите по рисунку и... Картинки становятся цветными!</t>
  </si>
  <si>
    <t>9785378310753</t>
  </si>
  <si>
    <t>238х330х5</t>
  </si>
  <si>
    <t>157824</t>
  </si>
  <si>
    <t>БОЛЬШАЯ ВОДНАЯ РАСКРАСКА. ДЛЯ ДЕВОЧЕК</t>
  </si>
  <si>
    <t>978-5-378-31076-0</t>
  </si>
  <si>
    <t>9785378310760</t>
  </si>
  <si>
    <t>157825</t>
  </si>
  <si>
    <t>БОЛЬШАЯ ВОДНАЯ РАСКРАСКА. ДЛЯ МАЛЬЧИКОВ</t>
  </si>
  <si>
    <t>978-5-378-31077-7</t>
  </si>
  <si>
    <t>9785378310777</t>
  </si>
  <si>
    <t>СЕРИЯ: БОЛЬШАЯ ВОДНАЯ РАСКРАСКА глянц.ламин, картон.обл, 8л 238х330 (офсет 160гр)</t>
  </si>
  <si>
    <t>202271</t>
  </si>
  <si>
    <t>БОЛЬШАЯ ВОДНАЯ РАСКРАСКА. В МИРЕ СКАЗОК</t>
  </si>
  <si>
    <t>978-5-378-34234-1</t>
  </si>
  <si>
    <t>9785378342341</t>
  </si>
  <si>
    <t>15f2e93013b7cd13d2c84de190f04f1c</t>
  </si>
  <si>
    <t>238х330х3</t>
  </si>
  <si>
    <t>202272</t>
  </si>
  <si>
    <t>БОЛЬШАЯ ВОДНАЯ РАСКРАСКА. ВОЛШЕБНЫЙ МИР</t>
  </si>
  <si>
    <t>978-5-378-34235-8</t>
  </si>
  <si>
    <t>9785378342358</t>
  </si>
  <si>
    <t>ff2a556adf2a768efd0c81c1779f13b8</t>
  </si>
  <si>
    <t>202275</t>
  </si>
  <si>
    <t>978-5-378-34236-5</t>
  </si>
  <si>
    <t>9785378342365</t>
  </si>
  <si>
    <t>91575053c7771feebcbb7a0c03b3d987</t>
  </si>
  <si>
    <t>202276</t>
  </si>
  <si>
    <t>978-5-378-34237-2</t>
  </si>
  <si>
    <t>9785378342372</t>
  </si>
  <si>
    <t>202277</t>
  </si>
  <si>
    <t>978-5-378-34238-9</t>
  </si>
  <si>
    <t>9785378342389</t>
  </si>
  <si>
    <t>b39bae5c3f324567474307d79d4136bd</t>
  </si>
  <si>
    <t>202278</t>
  </si>
  <si>
    <t>БОЛЬШАЯ ВОДНАЯ РАСКРАСКА. ЖИВОТНЫЕ</t>
  </si>
  <si>
    <t>978-5-378-34239-6</t>
  </si>
  <si>
    <t>9785378342396</t>
  </si>
  <si>
    <t>08c88e136d68928a898a0f9f8fda3fcd</t>
  </si>
  <si>
    <t>232093</t>
  </si>
  <si>
    <t>БОЛЬШАЯ ВОДНАЯ РАСКРАСКА. МИ-МИ-МИШКИ. НОВЫЙ ГОД</t>
  </si>
  <si>
    <t>978-5-378-34861-9</t>
  </si>
  <si>
    <t>Представляем новые раскраски с героями популярных мультсериалов «Ми-ми-мишки» и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</si>
  <si>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9785378348619</t>
  </si>
  <si>
    <t>202269</t>
  </si>
  <si>
    <t>БОЛЬШАЯ ВОДНАЯ РАСКРАСКА. ТРАНСПОРТ</t>
  </si>
  <si>
    <t>978-5-378-34232-7</t>
  </si>
  <si>
    <t>9785378342327</t>
  </si>
  <si>
    <t>c72d9b10c08260604262fded1bb5eb1d</t>
  </si>
  <si>
    <t>245140</t>
  </si>
  <si>
    <t>БОЛЬШАЯ ВОДНАЯ РАСКРАСКА. ТУРБОЗАВРЫ</t>
  </si>
  <si>
    <t>978-5-378-35361-3</t>
  </si>
  <si>
    <t xml:space="preserve">Представляем новую раскраску с героями популярного мультсериала «Турбозавры». Карандаши, фломастеры и краски – в сторону! Возьми стакан с водой, намочи кисточку и проведи ею по листу – ты увидишь, как оживают картинки! </t>
  </si>
  <si>
    <t>9785378353613</t>
  </si>
  <si>
    <t>de2705be9a261fe7a46607a001fee729</t>
  </si>
  <si>
    <t>251803</t>
  </si>
  <si>
    <t>БОЛЬШАЯ ВОДНАЯ РАСКРАСКА. ЦВЕТНЯШКИ</t>
  </si>
  <si>
    <t>978-5-378-35540-2</t>
  </si>
  <si>
    <t>9785378355402</t>
  </si>
  <si>
    <t>40d3a65799d32e4e8e13f0c2ec39f8fd</t>
  </si>
  <si>
    <t>СЕРИЯ: ВОДНАЯ РАСКРАСКА А5 мелов.обл. 6л 140х200 (офсет 160)</t>
  </si>
  <si>
    <t>228359</t>
  </si>
  <si>
    <t>ВОДНАЯ РАСКРАСКА А5. ДИКИЕ ЖИВОТНЫЕ</t>
  </si>
  <si>
    <t>978-5-378-34784-1</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</si>
  <si>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маленькому формату их удобно взять с собой в путешествие.</t>
  </si>
  <si>
    <t>9785378347841</t>
  </si>
  <si>
    <t>255356</t>
  </si>
  <si>
    <t>ВОДНАЯ РАСКРАСКА А5. ДЛЯ ДЕВОЧЕК</t>
  </si>
  <si>
    <t>978-5-378-35621-8</t>
  </si>
  <si>
    <t>9785378356218</t>
  </si>
  <si>
    <t>255359</t>
  </si>
  <si>
    <t>ВОДНАЯ РАСКРАСКА А5. ДЛЯ МАЛЬЧИКОВ</t>
  </si>
  <si>
    <t>978-5-378-35623-2</t>
  </si>
  <si>
    <t>9785378356232</t>
  </si>
  <si>
    <t>228364</t>
  </si>
  <si>
    <t>ВОДНАЯ РАСКРАСКА А5. ДОМАШНИЕ ЖИВОТНЫЕ (новая)</t>
  </si>
  <si>
    <t>978-5-378-34787-2</t>
  </si>
  <si>
    <t>9785378347872</t>
  </si>
  <si>
    <t>255355</t>
  </si>
  <si>
    <t>ВОДНАЯ РАСКРАСКА А5. ЗВЕРЯТА</t>
  </si>
  <si>
    <t>978-5-378-35620-1</t>
  </si>
  <si>
    <t>9785378356201</t>
  </si>
  <si>
    <t>228362</t>
  </si>
  <si>
    <t>ВОДНАЯ РАСКРАСКА А5. ПРИНЦЕССЫ И ФЕИ</t>
  </si>
  <si>
    <t>978-5-378-34785-8</t>
  </si>
  <si>
    <t>9785378347858</t>
  </si>
  <si>
    <t>228361</t>
  </si>
  <si>
    <t>ВОДНАЯ РАСКРАСКА А5. ТРАНСПОРТ</t>
  </si>
  <si>
    <t>978-5-378-34786-5</t>
  </si>
  <si>
    <t>9785378347865</t>
  </si>
  <si>
    <t>СЕРИЯ: ВОДНАЯ РАСКРАСКА для малышей, глянц.мелов.обл. 6л 198х248 (офсет 160гр)</t>
  </si>
  <si>
    <t>200924</t>
  </si>
  <si>
    <t>ВОДНАЯ РАСКРАСКА для малышей. ВОЛШЕБНАЯ СТРАНА</t>
  </si>
  <si>
    <t>978-5-378-34195-5</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</si>
  <si>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небольшому формату их удобно взять с собой в путешествие.</t>
  </si>
  <si>
    <t>9785378341955</t>
  </si>
  <si>
    <t>198х247х2</t>
  </si>
  <si>
    <t>218589</t>
  </si>
  <si>
    <t>ВОДНАЯ РАСКРАСКА для малышей. ДИНОЗАВРЫ</t>
  </si>
  <si>
    <t>978-5-378-34557-1</t>
  </si>
  <si>
    <t>9785378345571</t>
  </si>
  <si>
    <t>200922</t>
  </si>
  <si>
    <t>ВОДНАЯ РАСКРАСКА для малышей. ДЛЯ ДЕВОЧЕК</t>
  </si>
  <si>
    <t>978-5-378-34193-1</t>
  </si>
  <si>
    <t>9785378341931</t>
  </si>
  <si>
    <t>200921</t>
  </si>
  <si>
    <t>ВОДНАЯ РАСКРАСКА для малышей. ДЛЯ МАЛЬЧИКОВ</t>
  </si>
  <si>
    <t>978-5-378-34192-4</t>
  </si>
  <si>
    <t>9785378341924</t>
  </si>
  <si>
    <t>230566</t>
  </si>
  <si>
    <t>ВОДНАЯ РАСКРАСКА для малышей. ДОМАШНИЕ ЖИВОТНЫЕ</t>
  </si>
  <si>
    <t>978-5-378-34810-7</t>
  </si>
  <si>
    <t>9785378348107</t>
  </si>
  <si>
    <t>200923</t>
  </si>
  <si>
    <t>ВОДНАЯ РАСКРАСКА для малышей. ЖИВОТНЫЕ</t>
  </si>
  <si>
    <t>978-5-378-34194-8</t>
  </si>
  <si>
    <t>9785378341948</t>
  </si>
  <si>
    <t>218590</t>
  </si>
  <si>
    <t>ВОДНАЯ РАСКРАСКА для малышей. ЗВЕРЯТА</t>
  </si>
  <si>
    <t>978-5-378-34558-8</t>
  </si>
  <si>
    <t>9785378345588</t>
  </si>
  <si>
    <t>248069</t>
  </si>
  <si>
    <t>ВОДНАЯ РАСКРАСКА для малышей. КОШЕЧКИ-СОБАЧКИ</t>
  </si>
  <si>
    <t>978-5-378-35468-9</t>
  </si>
  <si>
    <t xml:space="preserve">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 </t>
  </si>
  <si>
    <t>9785378354689</t>
  </si>
  <si>
    <t>572c7682f444dfd01428d876cb16ae67</t>
  </si>
  <si>
    <t>230565</t>
  </si>
  <si>
    <t>ВОДНАЯ РАСКРАСКА для малышей. ЛЕСНЫЕ ЗВЕРЯТА</t>
  </si>
  <si>
    <t>978-5-378-34809-1</t>
  </si>
  <si>
    <t>9785378348091</t>
  </si>
  <si>
    <t>267390</t>
  </si>
  <si>
    <t>ВОДНАЯ РАСКРАСКА для малышей. МАСТЕР ВИТЯ И МОТОР</t>
  </si>
  <si>
    <t>978-5-378-35927-1</t>
  </si>
  <si>
    <t>Представляем новую раскраску с героями популярного мультсериала «Мастер Витя и Мотор». Карандаши, фломастеры и краски – в сторону! Возьми стакан с водой, намочи кисточку и проведи ею по листу – ты увидишь, как оживают картинки!</t>
  </si>
  <si>
    <t>9785378359271</t>
  </si>
  <si>
    <t>651fcb4f64be96899f81e729209edfc7</t>
  </si>
  <si>
    <t>230567</t>
  </si>
  <si>
    <t>ВОДНАЯ РАСКРАСКА для малышей. МИ-МИ-МИШКИ</t>
  </si>
  <si>
    <t>978-5-378-34811-4</t>
  </si>
  <si>
    <t>9785378348114</t>
  </si>
  <si>
    <t>218591</t>
  </si>
  <si>
    <t>ВОДНАЯ РАСКРАСКА для малышей. ПРИНЦЕССЫ И ФЕИ</t>
  </si>
  <si>
    <t>978-5-378-34559-5</t>
  </si>
  <si>
    <t>9785378345595</t>
  </si>
  <si>
    <t>230568</t>
  </si>
  <si>
    <t>ВОДНАЯ РАСКРАСКА для малышей. СИНИЙ ТРАКТОР</t>
  </si>
  <si>
    <t>978-5-378-34812-1</t>
  </si>
  <si>
    <t>9785378348121</t>
  </si>
  <si>
    <t>218592</t>
  </si>
  <si>
    <t>ВОДНАЯ РАСКРАСКА для малышей. ТРАНСПОРТ</t>
  </si>
  <si>
    <t>978-5-378-34560-1</t>
  </si>
  <si>
    <t>9785378345601</t>
  </si>
  <si>
    <t>245141</t>
  </si>
  <si>
    <t>ВОДНАЯ РАСКРАСКА для малышей. ТУРБОЗАВРЫ</t>
  </si>
  <si>
    <t>978-5-378-35379-8</t>
  </si>
  <si>
    <t>9785378353798</t>
  </si>
  <si>
    <t>9790aeaefa3e476a6c62923d53809088</t>
  </si>
  <si>
    <t>251800</t>
  </si>
  <si>
    <t>ВОДНАЯ РАСКРАСКА для малышей. ЦВЕТНЯШКИ</t>
  </si>
  <si>
    <t>978-5-378-35541-9</t>
  </si>
  <si>
    <t>9785378355419</t>
  </si>
  <si>
    <t>fd2d592f3ecb8506ce9252e957bde103</t>
  </si>
  <si>
    <t>267391</t>
  </si>
  <si>
    <t>ВОДНАЯ РАСКРАСКА для малышей. ЦЫП-ЦЫП</t>
  </si>
  <si>
    <t>978-5-378-35928-8</t>
  </si>
  <si>
    <t>Представляем новую раскраску с героями популярного мультсериала «Цып-Цып». Карандаши, фломастеры и краски – в сторону! Возьми стакан с водой, намочи кисточку и проведи ею по листу – ты увидишь, как оживают картинки!</t>
  </si>
  <si>
    <t>9785378359288</t>
  </si>
  <si>
    <t>34f01c06a6167473e7cc898e65410228</t>
  </si>
  <si>
    <t>СЕРИЯ: ВОДНАЯ РАСКРАСКА с кисточкой, 8л 195х276 (офсет 160гр)</t>
  </si>
  <si>
    <t>210191</t>
  </si>
  <si>
    <t>ВОДНАЯ РАСКРАСКА с кисточкой. ДИНОЗАВРЫ</t>
  </si>
  <si>
    <t>978-5-378-34406-2</t>
  </si>
  <si>
    <t xml:space="preserve">Суперновинка! Раскраски в комплекте с многоразовой кистью со специальным резервуаром! Просто добавь воды, проведи кисточкой по листу – и ты увидишь, как картинки оживают. Серия представлена 4 темами: «Домашние животные», «Единороги», «Динозавры», «Транспорт».  </t>
  </si>
  <si>
    <t>9785378344062</t>
  </si>
  <si>
    <t>195х276х15</t>
  </si>
  <si>
    <t>210189</t>
  </si>
  <si>
    <t>ВОДНАЯ РАСКРАСКА с кисточкой. ТРАНСПОРТ</t>
  </si>
  <si>
    <t>978-5-378-34404-8</t>
  </si>
  <si>
    <t>9785378344048</t>
  </si>
  <si>
    <t>СЕРИЯ: ВОДНАЯ РАСКРАСКА с цветными элементами, глянц.ламин,картон.обл, 6л 198х248 (офсет 160)</t>
  </si>
  <si>
    <t>233239</t>
  </si>
  <si>
    <t>ВОДНАЯ РАСКРАСКА с цветными элементами. ВЕСЁЛЫЕ ГОНКИ</t>
  </si>
  <si>
    <t>978-5-378-34874-9</t>
  </si>
  <si>
    <t>Пополнение серии водных раскрасок с цветными элементами! Теперь и для мальчиков! Темы на выбор: "На стройке", "Динозаврики", "Весёлые гонки" и "Самолёты". Возьми стакан с водой, намочи кисточку и проведи ею по листу - ты увидишь, как оживают картинки!</t>
  </si>
  <si>
    <t>9785378348749</t>
  </si>
  <si>
    <t>d575948873c7e19d52841843e728a3f4</t>
  </si>
  <si>
    <t>198х246х2</t>
  </si>
  <si>
    <t>222963</t>
  </si>
  <si>
    <t>ВОДНАЯ РАСКРАСКА с цветными элементами. ВОЛШЕБНЫЙ МИР</t>
  </si>
  <si>
    <t>978-5-378-34650-9</t>
  </si>
  <si>
    <t xml:space="preserve">Суперновинка! Представляем водные раскраски с цветными элементами! Возьми стакан с водой, намочи кисточку и проведи ею по листу – ты увидишь, как оживают картинки! Серия представлена 4 темами: «Милые девочки», «Феи», «Принцессы», «Волшебный мир».   </t>
  </si>
  <si>
    <t>9785378346509</t>
  </si>
  <si>
    <t>233238</t>
  </si>
  <si>
    <t>ВОДНАЯ РАСКРАСКА с цветными элементами. ДИНОЗАВРИКИ</t>
  </si>
  <si>
    <t>978-5-378-34873-2</t>
  </si>
  <si>
    <t>9785378348732</t>
  </si>
  <si>
    <t>ccb80384f688604dbea97acda695f604</t>
  </si>
  <si>
    <t>233236</t>
  </si>
  <si>
    <t>ВОДНАЯ РАСКРАСКА с цветными элементами. НА СТРОЙКЕ</t>
  </si>
  <si>
    <t>978-5-378-34871-8</t>
  </si>
  <si>
    <t>9785378348718</t>
  </si>
  <si>
    <t>5904d1a7f693b9a455fea74cc7e24dad</t>
  </si>
  <si>
    <t>222961</t>
  </si>
  <si>
    <t>ВОДНАЯ РАСКРАСКА с цветными элементами. ПРИНЦЕССЫ</t>
  </si>
  <si>
    <t>978-5-378-34648-6</t>
  </si>
  <si>
    <t>9785378346486</t>
  </si>
  <si>
    <t>233237</t>
  </si>
  <si>
    <t>ВОДНАЯ РАСКРАСКА с цветными элементами. САМОЛЁТЫ</t>
  </si>
  <si>
    <t>978-5-378-34872-5</t>
  </si>
  <si>
    <t>9785378348725</t>
  </si>
  <si>
    <t>f00198181c764a5ce90050e05d097faf</t>
  </si>
  <si>
    <t>222960</t>
  </si>
  <si>
    <t>ВОДНАЯ РАСКРАСКА с цветными элементами. ФЕИ</t>
  </si>
  <si>
    <t>978-5-378-34647-9</t>
  </si>
  <si>
    <t>9785378346479</t>
  </si>
  <si>
    <t xml:space="preserve">СЕРИЯ: ВОДНЫЕ многоразовые РАСКРАСКИ. Magic КАРТИНКИ, 10 карточек, европодвес 110х177 </t>
  </si>
  <si>
    <t>233248</t>
  </si>
  <si>
    <t>ВОДНАЯ многоразовая РАСКРАСКА. Magic КАРТИНКИ. Чья это мама?</t>
  </si>
  <si>
    <t>978-5-378-34911-1</t>
  </si>
  <si>
    <t>MAGIC картинки — это прекрасный подарок для мальчиков и девочек от одного года!
На карточки-раскраски с одной стороны нанесено специальное покрытие, благодаря чему набор становится многоразовым, а любимая игра длится дольше.
Многоразовые карточки-раскраски помогут не только развивать творческие способности и приятно проводить время, но и познавать мир, знакомиться с новыми понятиями, пополнять словарный запас.</t>
  </si>
  <si>
    <t>9785378349111</t>
  </si>
  <si>
    <t>110х176х1</t>
  </si>
  <si>
    <t>СЕРИЯ: МНОГОРАЗОВАЯ ВОДНАЯ MAGIC РАСКРАСКА гребень, глянц.лам.обл. 230x160 (мелов 170)</t>
  </si>
  <si>
    <t>242320</t>
  </si>
  <si>
    <t>МНОГОРАЗОВАЯ ВОДНАЯ MAGIC РАСКРАСКА. Для девочек</t>
  </si>
  <si>
    <t>978-5-378-35269-2</t>
  </si>
  <si>
    <t>Суперновинка! Волшебные многоразовые водные раскраски на гребне. Просто намочи кисточку водой и проведи по белой области – ты увидишь, как оживают картинки! Когда они высохнут, можешь рисовать снова, и так бесконечное множество раз!</t>
  </si>
  <si>
    <t>9785378352692</t>
  </si>
  <si>
    <t>aa413a1aeed87267868f198cbd1c4d0a</t>
  </si>
  <si>
    <t>230х165х9</t>
  </si>
  <si>
    <t>242322</t>
  </si>
  <si>
    <t>МНОГОРАЗОВАЯ ВОДНАЯ MAGIC РАСКРАСКА. Для мальчиков</t>
  </si>
  <si>
    <t>978-5-378-35270-8</t>
  </si>
  <si>
    <t>9785378352708</t>
  </si>
  <si>
    <t>d900fd2b24f811881da5a9afbe841fb9</t>
  </si>
  <si>
    <t>242323</t>
  </si>
  <si>
    <t>МНОГОРАЗОВАЯ ВОДНАЯ MAGIC РАСКРАСКА. Домашние животные</t>
  </si>
  <si>
    <t>978-5-378-35271-5</t>
  </si>
  <si>
    <t>9785378352715</t>
  </si>
  <si>
    <t>55b6e9f9aefd0a871155e8d99503abad</t>
  </si>
  <si>
    <t>17.12.2024 0:00:00</t>
  </si>
  <si>
    <t>242325</t>
  </si>
  <si>
    <t>МНОГОРАЗОВАЯ ВОДНАЯ MAGIC РАСКРАСКА. Транспорт</t>
  </si>
  <si>
    <t>978-5-378-35272-2</t>
  </si>
  <si>
    <t>9785378352722</t>
  </si>
  <si>
    <t>d09c69791041bef5947dc852eaef8229</t>
  </si>
  <si>
    <t>СЕРИЯ: МНОГОРАЗОВАЯ ВОДНАЯ РАСКРАСКА глянц.ламин, 160х230 (мелов 170)</t>
  </si>
  <si>
    <t>236333</t>
  </si>
  <si>
    <t>МНОГОРАЗОВАЯ ВОДНАЯ РАСКРАСКА. БОЛЬШИЕ МАШИНЫ</t>
  </si>
  <si>
    <t>978-5-378-34927-2</t>
  </si>
  <si>
    <t>Многоразовые водные раскраски представлены 4 темами: «Динозавры», «Большие машины», «Волшебный мир», «Питомцы». Просто намочи кисточку и проведи по белой области – ты увидишь, как картинки оживают! Когда они высохнут, можешь повторить.</t>
  </si>
  <si>
    <t>9785378349272</t>
  </si>
  <si>
    <t>b07b2d2c5a94dd975e44fb220982b383</t>
  </si>
  <si>
    <t>25.11.2024 0:00:00</t>
  </si>
  <si>
    <t>236325</t>
  </si>
  <si>
    <t>МНОГОРАЗОВАЯ ВОДНАЯ РАСКРАСКА. ВАЖНЫЕ МАШИНЫ. ПОЖАРНАЯ МАШИНА</t>
  </si>
  <si>
    <t>978-5-378-34930-2</t>
  </si>
  <si>
    <t xml:space="preserve">Представляем волшебные раскраски с веселыми стихами:  «Пожарная машина», «Трактор», «Скорая помощь» и «Полиция». Просто намочи кисточку водой и проведи по белой области – ты увидишь, как картинки оживают! Когда они высохнут, можешь повторить. И так много-много раз! </t>
  </si>
  <si>
    <t>9785378349302</t>
  </si>
  <si>
    <t>ed7ea7ca1b4a34662983409a55026d92</t>
  </si>
  <si>
    <t>236326</t>
  </si>
  <si>
    <t>МНОГОРАЗОВАЯ ВОДНАЯ РАСКРАСКА. ВАЖНЫЕ МАШИНЫ. ПОЛИЦИЯ</t>
  </si>
  <si>
    <t>978-5-378-34931-9</t>
  </si>
  <si>
    <t>9785378349319</t>
  </si>
  <si>
    <t>cae11590b00f414266f8b939f2cd0524</t>
  </si>
  <si>
    <t>236327</t>
  </si>
  <si>
    <t>МНОГОРАЗОВАЯ ВОДНАЯ РАСКРАСКА. ВАЖНЫЕ МАШИНЫ. СКОРАЯ ПОМОЩЬ</t>
  </si>
  <si>
    <t>978-5-378-34932-6</t>
  </si>
  <si>
    <t>9785378349326</t>
  </si>
  <si>
    <t>fcf5f60c3a2537e8b4c6ce1f723e71bf</t>
  </si>
  <si>
    <t>236328</t>
  </si>
  <si>
    <t>МНОГОРАЗОВАЯ ВОДНАЯ РАСКРАСКА. ВАЖНЫЕ МАШИНЫ. ТРАКТОР</t>
  </si>
  <si>
    <t>978-5-378-34933-3</t>
  </si>
  <si>
    <t>9785378349333</t>
  </si>
  <si>
    <t>0cc4dfe47cd1a8243a80a52f740c3624</t>
  </si>
  <si>
    <t>236331</t>
  </si>
  <si>
    <t>МНОГОРАЗОВАЯ ВОДНАЯ РАСКРАСКА. ВОЛШЕБНЫЙ МИР</t>
  </si>
  <si>
    <t>978-5-378-34925-8</t>
  </si>
  <si>
    <t>9785378349258</t>
  </si>
  <si>
    <t>14307a92bfd24e102b0de36ea2edf936</t>
  </si>
  <si>
    <t>236330</t>
  </si>
  <si>
    <t>МНОГОРАЗОВАЯ ВОДНАЯ РАСКРАСКА. ДИНОЗАВРЫ</t>
  </si>
  <si>
    <t>978-5-378-34924-1</t>
  </si>
  <si>
    <t>9785378349241</t>
  </si>
  <si>
    <t>8d9e4d6872c32c592428059cbe9ce885</t>
  </si>
  <si>
    <t>26.11.2024 0:00:00</t>
  </si>
  <si>
    <t>249500</t>
  </si>
  <si>
    <t>МНОГОРАЗОВАЯ ВОДНАЯ РАСКРАСКА. КОШЕЧКИ-СОБАЧКИ</t>
  </si>
  <si>
    <t>978-5-378-35481-8</t>
  </si>
  <si>
    <t>Суперновинка!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t>
  </si>
  <si>
    <t>9785378354818</t>
  </si>
  <si>
    <t>5cadd52c8b3d49615ff257880dfc8205</t>
  </si>
  <si>
    <t>236332</t>
  </si>
  <si>
    <t>МНОГОРАЗОВАЯ ВОДНАЯ РАСКРАСКА. ПИТОМЦЫ</t>
  </si>
  <si>
    <t>978-5-378-34926-5</t>
  </si>
  <si>
    <t>9785378349265</t>
  </si>
  <si>
    <t>e1251cf43b115a47d54259fdcbe39696</t>
  </si>
  <si>
    <t>215063</t>
  </si>
  <si>
    <t>МНОГОРАЗОВАЯ ВОДНАЯ РАСКРАСКА. ПОДВОДНЫЙ МИР</t>
  </si>
  <si>
    <t>978-5-378-34350-8</t>
  </si>
  <si>
    <t xml:space="preserve">Суперновинка! Волшебные раскраски, представленные 4 темами: «Домашние животные», «В лесу», «Подводный мир», «Транспорт».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  </t>
  </si>
  <si>
    <t>9785378343508</t>
  </si>
  <si>
    <t>21fd89be15ae432a7273d4fe33be7141</t>
  </si>
  <si>
    <t>СЕРИЯ: МНОГОРАЗОВАЯ ВОДНАЯ РАСКРАСКА глянц.ламин, 195х276 (мелов 170)</t>
  </si>
  <si>
    <t>241759</t>
  </si>
  <si>
    <t>МНОГОРАЗОВАЯ ВОДНАЯ РАСКРАСКА А4. АКУЛА МИЛА</t>
  </si>
  <si>
    <t>978-5-378-35235-7</t>
  </si>
  <si>
    <t>9785378352357</t>
  </si>
  <si>
    <t>8265397000c564185edbfe0709a107fe</t>
  </si>
  <si>
    <t>196x275х1</t>
  </si>
  <si>
    <t>241760</t>
  </si>
  <si>
    <t>МНОГОРАЗОВАЯ ВОДНАЯ РАСКРАСКА А4. КАПИБАРА И ДРУЗЬЯ</t>
  </si>
  <si>
    <t>978-5-378-35236-4</t>
  </si>
  <si>
    <t>9785378352364</t>
  </si>
  <si>
    <t>6ee1ef71e7ba91f2a4bb24c149ed9707</t>
  </si>
  <si>
    <t>227834</t>
  </si>
  <si>
    <t>МНОГОРАЗОВАЯ ВОДНАЯ РАСКРАСКА А4. ПРИНЦЕССА</t>
  </si>
  <si>
    <t>978-5-378-34721-6</t>
  </si>
  <si>
    <t>9785378347216</t>
  </si>
  <si>
    <t>f84e786aa35c76d1581e54bf94a65147</t>
  </si>
  <si>
    <t>227844</t>
  </si>
  <si>
    <t>МНОГОРАЗОВАЯ ВОДНАЯ РАСКРАСКА А4. ТРАКТОР ВИК</t>
  </si>
  <si>
    <t>978-5-378-34723-0</t>
  </si>
  <si>
    <t>9785378347230</t>
  </si>
  <si>
    <t>06fe3d4816cc1fcc193b2b645333d8ca</t>
  </si>
  <si>
    <t>227845</t>
  </si>
  <si>
    <t>МНОГОРАЗОВАЯ ВОДНАЯ РАСКРАСКА А4. ТРАНСПОРТ</t>
  </si>
  <si>
    <t>978-5-378-34724-7</t>
  </si>
  <si>
    <t>9785378347247</t>
  </si>
  <si>
    <t>f64ab278031966234506c83f649537ad</t>
  </si>
  <si>
    <t>СЕРИЯ: МНОГОРАЗОВАЯ ВОДНАЯ РАСКРАСКА С ЧЁРНЫМ КОНТУРОМ мелов.обл. 160x230</t>
  </si>
  <si>
    <t>258306</t>
  </si>
  <si>
    <t>МНОГОРАЗОВАЯ ВОДНАЯ РАСКРАСКА С ЧЁРНЫМ КОНТУРОМ. ДИКИЕ ЖИВОТНЫЕ</t>
  </si>
  <si>
    <t>978-5-378-35667-6</t>
  </si>
  <si>
    <t>Эту раскраску можно использовать снова и снова. Для творчества не нужны ни карандаши, ни краски, ни фломастеры. Черно-белые страницы легко оживут, если провести по ним кисточкой, смоченной водой. Цветные картинки и появляющиеся, как по волшебству, персонажи увлекут малыша и заинтересуют творчеством.</t>
  </si>
  <si>
    <t>9785378356676</t>
  </si>
  <si>
    <t>51bf42b816df66493b90c347a1f72def</t>
  </si>
  <si>
    <t>258309</t>
  </si>
  <si>
    <t>МНОГОРАЗОВАЯ ВОДНАЯ РАСКРАСКА С ЧЁРНЫМ КОНТУРОМ. ДОМАШНИЕ ЖИВОТНЫЕ</t>
  </si>
  <si>
    <t>978-5-378-35669-0</t>
  </si>
  <si>
    <t>9785378356690</t>
  </si>
  <si>
    <t>9d0bd27d28a097a7c64348f630d56233</t>
  </si>
  <si>
    <t>258303</t>
  </si>
  <si>
    <t>МНОГОРАЗОВАЯ ВОДНАЯ РАСКРАСКА С ЧЁРНЫМ КОНТУРОМ. МАМЫ И МАЛЫШИ</t>
  </si>
  <si>
    <t>978-5-378-35666-9</t>
  </si>
  <si>
    <t>9785378356669</t>
  </si>
  <si>
    <t>4f9d9d3aad3120ba4c199b4cebc1b531</t>
  </si>
  <si>
    <t>258307</t>
  </si>
  <si>
    <t>МНОГОРАЗОВАЯ ВОДНАЯ РАСКРАСКА С ЧЁРНЫМ КОНТУРОМ. ТРАНСПОРТ</t>
  </si>
  <si>
    <t>978-5-378-35668-3</t>
  </si>
  <si>
    <t>9785378356683</t>
  </si>
  <si>
    <t>50499f2756ba71e79dfd58dbdfa4416a</t>
  </si>
  <si>
    <t>СЕРИЯ: МОЯ ПЕРВАЯ ВОДНАЯ РАСКРАСКА глянц.ламин, картон.обл. 6 л 195х195 (офсет 160)</t>
  </si>
  <si>
    <t>204090</t>
  </si>
  <si>
    <t>МОЯ ПЕРВАЯ ВОДНАЯ РАСКРАСКА. ДЛЯ ДЕВОЧЕК</t>
  </si>
  <si>
    <t>978-5-378-34261-7</t>
  </si>
  <si>
    <t>Вашему маленькому художнику уже хочется взять в руки кисть, но пока сложно справиться с рисованием самостоятельно? Серия «Моя первая водная раскраска» наверняка понравится ему, ведь это полезное и увлекательное занятие, для которого понадобится только кисточка и вода! В каждой раскраске этой серии на плотных страницах ребёнок найдёт по 6 сюжетов на популярные темы («Для девочек», «Для мальчиков», «Любимые сказки», «Животные»), которые станут ещё более яркими и многоцветными, когда по ним проведут влажной кисточкой. Да, действительно! Краски вам не понадобятся, ведь узор с разнообразными и яркими оттенками заранее нанесён на рисунки по уникальной технологии.</t>
  </si>
  <si>
    <t>9785378342617</t>
  </si>
  <si>
    <t>195х195х2</t>
  </si>
  <si>
    <t>204091</t>
  </si>
  <si>
    <t>МОЯ ПЕРВАЯ ВОДНАЯ РАСКРАСКА. ДЛЯ МАЛЬЧИКОВ</t>
  </si>
  <si>
    <t>978-5-378-34262-4</t>
  </si>
  <si>
    <t>9785378342624</t>
  </si>
  <si>
    <t>204092</t>
  </si>
  <si>
    <t>МОЯ ПЕРВАЯ ВОДНАЯ РАСКРАСКА. ЖИВОТНЫЕ</t>
  </si>
  <si>
    <t>978-5-378-34264-8</t>
  </si>
  <si>
    <t>9785378342648</t>
  </si>
  <si>
    <t>248072</t>
  </si>
  <si>
    <t>МОЯ ПЕРВАЯ ВОДНАЯ РАСКРАСКА. КОШЕЧКИ-СОБАЧКИ</t>
  </si>
  <si>
    <t>978-5-378-35465-8</t>
  </si>
  <si>
    <t>9785378354658</t>
  </si>
  <si>
    <t>d5383ea0a98d409b483ef7b637a90d25</t>
  </si>
  <si>
    <t>267387</t>
  </si>
  <si>
    <t>МОЯ ПЕРВАЯ ВОДНАЯ РАСКРАСКА. МАСТЕР ВИТЯ И МОТОР</t>
  </si>
  <si>
    <t>978-5-378-35925-7</t>
  </si>
  <si>
    <t>9785378359257</t>
  </si>
  <si>
    <t>245139</t>
  </si>
  <si>
    <t>МОЯ ПЕРВАЯ ВОДНАЯ РАСКРАСКА. ТУРБОЗАВРЫ</t>
  </si>
  <si>
    <t>978-5-378-35333-0</t>
  </si>
  <si>
    <t>Представляем новую раскраску с героями популярного мультсериала «Турбозавры». Карандаши, фломастеры и краски – в сторону! Возьми стакан с водой, намочи кисточку и проведи ею по листу – ты увидишь, как оживают картинки!</t>
  </si>
  <si>
    <t>9785378353330</t>
  </si>
  <si>
    <t>251801</t>
  </si>
  <si>
    <t>МОЯ ПЕРВАЯ ВОДНАЯ РАСКРАСКА. ЦВЕТНЯШКИ</t>
  </si>
  <si>
    <t xml:space="preserve">978-5-378-35539-6 </t>
  </si>
  <si>
    <t xml:space="preserve">9785378355396 </t>
  </si>
  <si>
    <t>9a752d5c72012cfde6d0ec7606997ee4</t>
  </si>
  <si>
    <t>267388</t>
  </si>
  <si>
    <t>МОЯ ПЕРВАЯ ВОДНАЯ РАСКРАСКА. ЦЫП-ЦЫП</t>
  </si>
  <si>
    <t>978-5-378-35926-4</t>
  </si>
  <si>
    <t>9785378359264</t>
  </si>
  <si>
    <t>РАСКРАСКИ АНТИСТРЕСС</t>
  </si>
  <si>
    <t>СЕРИЯ: МАНДАЛЫ. РАСКРАСКА-АНТИСТРЕСС на гребне 145х202</t>
  </si>
  <si>
    <t>259926</t>
  </si>
  <si>
    <t>МАНДАЛЫ. РАСКРАСКА-АНТИСТРЕСС. Антистресс</t>
  </si>
  <si>
    <t>978-5-378-35704-8</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</si>
  <si>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</si>
  <si>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9785378357048</t>
  </si>
  <si>
    <t>Мартынова Инесса</t>
  </si>
  <si>
    <t>e902fe3ad868a6db76d0753ab6cfe9b5</t>
  </si>
  <si>
    <t>145х202х10</t>
  </si>
  <si>
    <t>259925</t>
  </si>
  <si>
    <t>МАНДАЛЫ. РАСКРАСКА-АНТИСТРЕСС. Женская сила</t>
  </si>
  <si>
    <t>978-5-378-35703-1</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</si>
  <si>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 Кроме того, мы предлагаем вам использовать аффирмации, усиливая тем самым эффект от работы с мандалой.</t>
  </si>
  <si>
    <t>9785378357031</t>
  </si>
  <si>
    <t>f8f82719899943f84e87b0247ca3eb51</t>
  </si>
  <si>
    <t>СЕРИЯ: МАНДАЛЫ. РАСКРАСКА-АНТИСТРЕСС на гребне 200х200</t>
  </si>
  <si>
    <t>243733</t>
  </si>
  <si>
    <t>МАНДАЛЫ. РАСКРАСКА-АНТИСТРЕСС на гребне. ЖЕНСКАЯ ЭНЕРГИЯ</t>
  </si>
  <si>
    <t xml:space="preserve">978-5-378-35328-6 </t>
  </si>
  <si>
    <t>К созданию своих раскрасок мы подошли со всей ответственностью и привлекли автора с психологическим образованием. Рисунки брошюр созданы в состоянии медитациии, наполнены позитивной энергетикой.
В создании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</si>
  <si>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9785378353286</t>
  </si>
  <si>
    <t>6840e7149b0f287eeb7f15c75f956b14</t>
  </si>
  <si>
    <t>205х200х10</t>
  </si>
  <si>
    <t>238445</t>
  </si>
  <si>
    <t>МАНДАЛЫ. РАСКРАСКА-АНТИСТРЕСС на гребне. МАНДАЛЫ ДЛЯ ЛЮБВИ К СЕБЕ</t>
  </si>
  <si>
    <t>978-5-378-35128-2</t>
  </si>
  <si>
    <t>К созданию своих раскрасок мы подошли со всей ответственностью
и привлекли автора с психологическим образованием. Рисунки брошюр созданы в состоянии медитации и наполнены позитивной энергетикой.
В создании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
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Готовые изображения можно повесить на видном месте, чтобы напоминать себе об истинных стремлениях.</t>
  </si>
  <si>
    <t>9785378351282</t>
  </si>
  <si>
    <t>322069340ed046496e1012c8d0859fc1</t>
  </si>
  <si>
    <t>267411</t>
  </si>
  <si>
    <t>МАНДАЛЫ. РАСКРАСКА-АНТИСТРЕСС на гребне. МАНДАЛЫ ДЛЯ ПЕРЕМЕН</t>
  </si>
  <si>
    <t>978-5-378-35942-4</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</si>
  <si>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и открыться навстречу переменам.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раскраски Инесса Мартынова имеет психологическое образование. Рисунки созданы в состоянии медитации и наполнены позитивной энергетикой. Лейла Джунусбаева имеет богатый опыт духовного преображения, который помогает людям исцелиться через искусство.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изменений в своей жизни!</t>
  </si>
  <si>
    <t>9785378359424</t>
  </si>
  <si>
    <t>267410</t>
  </si>
  <si>
    <t>МАНДАЛЫ. РАСКРАСКА-АНТИСТРЕСС на гребне. МАНДАЛЫ ПЕРЕЗАГРУЗКИ</t>
  </si>
  <si>
    <t>978-5-378-35941-7</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</si>
  <si>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раскрасок имеет психологическое образование. Рисунки брошюр созданы в состоянии медитациии и наполнены позитивной энергетикой.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к своей новой жизни!</t>
  </si>
  <si>
    <t>9785378359417</t>
  </si>
  <si>
    <t>238446</t>
  </si>
  <si>
    <t>МАНДАЛЫ. РАСКРАСКА-АНТИСТРЕСС на гребне. МАНДАЛЫ ПРОТИВ ТРЕВОЖНОСТИ</t>
  </si>
  <si>
    <t>978-5-378-35129-9</t>
  </si>
  <si>
    <t>9785378351299</t>
  </si>
  <si>
    <t>0c3df530a5602cd2b92803aff6d4d801</t>
  </si>
  <si>
    <t>243734</t>
  </si>
  <si>
    <t>МАНДАЛЫ. РАСКРАСКА-АНТИСТРЕСС на гребне. ОСОЗНАННОЕ ПИТАНИЕ</t>
  </si>
  <si>
    <t xml:space="preserve">978-5-378-35329-3 </t>
  </si>
  <si>
    <t>К созданию этой раскраски мы привлекли автора с опытом духовного преображения, чья работа помогает людям открыть их внутренние миры и исцелиться через искусство. Раскрашивание мандал — полезная практика, призванная помочь лучше узнать себя, начать ценить здоровье, гармонию души и тела, проработать важные желания и цели.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</si>
  <si>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9785378353293</t>
  </si>
  <si>
    <t>Джунусбаева Лейла</t>
  </si>
  <si>
    <t>5764812ddc7c490f57b711c4bf30f5ca</t>
  </si>
  <si>
    <t>246456</t>
  </si>
  <si>
    <t>МАНДАЛЫ. РАСКРАСКА-АНТИСТРЕСС на гребне. РАЗВИТИЕ ТАЛАНТА</t>
  </si>
  <si>
    <t>978-5-378-35424-5</t>
  </si>
  <si>
    <t>9785378354245</t>
  </si>
  <si>
    <t>ce2ff19cfac71ef3acf3c84bc7ec6acd</t>
  </si>
  <si>
    <t>246454</t>
  </si>
  <si>
    <t>МАНДАЛЫ. РАСКРАСКА-АНТИСТРЕСС на гребне. СИЛА МОЕГО РОДА</t>
  </si>
  <si>
    <t>978-5-378-35423-8</t>
  </si>
  <si>
    <t>9785378354238</t>
  </si>
  <si>
    <t>161bf65b3309dbec6f55003bfb14b712</t>
  </si>
  <si>
    <t>СЕРИЯ: РАСКРАСКА АНТИСТРЕСС "Арт-терапия" на гребне, твёрд.задняя обл.215х215</t>
  </si>
  <si>
    <t>218632</t>
  </si>
  <si>
    <t>РАСКРАСКА АНТИСТРЕСС "Арт-терапия" ВОЛШЕБНЫЕ МАНДАЛЫ</t>
  </si>
  <si>
    <t>978-5-378-34546-5</t>
  </si>
  <si>
    <t>Арт-терапия - это серия раскрасок в стиле антистресс, к которой можно обращаться в любых состояниях, ведь это один из методов практической психологии, который работает деликатно и экологично. Здесь не столько важны навыки рисования, сколько важен процесс, мысли и намерения, с которыми вы подбираете цвета, выводите линии,как вы реагируете на получающуюся иллюстрацию.
Серия раскрасок размером 215х215 мм включает в себя четыре темы: «Волшебные мандалы. Слушай своё сердце...», «Философия хюгге. Простые удовольствия жизни бесценны...», «Красота фауны. Живи здесь и сейчас...»,«Разнообразие флоры. Почувствуй безмятежность...». Каждая тема олицетворяет определённую атмосферу и эстетику, а от фраз веет спокойствием и настроением.</t>
  </si>
  <si>
    <t>9785378345465</t>
  </si>
  <si>
    <t>1d50d2b2d3ab07df0c9f7989b1590961</t>
  </si>
  <si>
    <t>215х220х10</t>
  </si>
  <si>
    <t>218635</t>
  </si>
  <si>
    <t>РАСКРАСКА АНТИСТРЕСС "Арт-терапия" КРАСОТА ФАУНЫ</t>
  </si>
  <si>
    <t>978-5-378-34549-6</t>
  </si>
  <si>
    <t>9785378345496</t>
  </si>
  <si>
    <t>5a8b6435e177fe269702043ed086310a</t>
  </si>
  <si>
    <t>218633</t>
  </si>
  <si>
    <t>РАСКРАСКА АНТИСТРЕСС "Арт-терапия" РАЗНООБРАЗИЕ ФЛОРЫ</t>
  </si>
  <si>
    <t>978-5-378-34547-2</t>
  </si>
  <si>
    <t>9785378345472</t>
  </si>
  <si>
    <t>f47f5f91edaf27e215331b09ef1037ab</t>
  </si>
  <si>
    <t>218634</t>
  </si>
  <si>
    <t>РАСКРАСКА АНТИСТРЕСС "Арт-терапия" ФИЛОСОФИЯ ХЮГГЕ</t>
  </si>
  <si>
    <t>978-5-378-34548-9</t>
  </si>
  <si>
    <t>9785378345489</t>
  </si>
  <si>
    <t>338b0c643958827f9b20bf006a81bfdb</t>
  </si>
  <si>
    <t>СЕРИЯ: РАСКРАСКА АНТИСТРЕСС на гребне, твёрд.задняя обл.210х275</t>
  </si>
  <si>
    <t>176656</t>
  </si>
  <si>
    <t>РАСКРАСКА АНТИСТРЕСС на гребне. ЛЕНИВЫЕ ЖИВОТНЫЕ</t>
  </si>
  <si>
    <t>978-5-378-32899-4</t>
  </si>
  <si>
    <t>Творческие занятия спасают от повседневной рутины и хорошо разгружают мозг. Раскраски-антистресс помогут найти простые решения сложным ситуациям и зарядиться вдохновением для выполнения любых дел. Раскрашивать иллюстрации очень удобно благодаря креплению с гребнем и подложке из твердого картона.</t>
  </si>
  <si>
    <t>9785378328994</t>
  </si>
  <si>
    <t>176655</t>
  </si>
  <si>
    <t>РАСКРАСКА АНТИСТРЕСС на гребне. НА КОНФЕРЕНЦИИ В ZOOM</t>
  </si>
  <si>
    <t>978-5-378-32898-7</t>
  </si>
  <si>
    <t>9785378328987</t>
  </si>
  <si>
    <t>176654</t>
  </si>
  <si>
    <t>РАСКРАСКА АНТИСТРЕСС на гребне. ОТДЫХ МЕЧТЫ</t>
  </si>
  <si>
    <t>978-5-378-32897-0</t>
  </si>
  <si>
    <t>9785378328970</t>
  </si>
  <si>
    <t>176653</t>
  </si>
  <si>
    <t>РАСКРАСКА АНТИСТРЕСС на гребне. ЦВЕТЫ ПРОКРАСТИНАЦИИ</t>
  </si>
  <si>
    <t>978-5-378-32896-3</t>
  </si>
  <si>
    <t>9785378328963</t>
  </si>
  <si>
    <t>СЕРИЯ: РАСКРАСКА ПРОТИВ ТРЕВОЖНОСТИ картон.обл 160х210</t>
  </si>
  <si>
    <t>258358</t>
  </si>
  <si>
    <t>РАСКРАСКА ПРОТИВ ТРЕВОЖНОСТИ. Маяк спокойствия</t>
  </si>
  <si>
    <t>978-5-378-35694-2</t>
  </si>
  <si>
    <t>Раскраска-антистресс — это не просто развлечение, это эффективный инструмент для борьбы с тревогой. Научно доказано, что раскрашивание сложных узоров снижает уровень кортизола, который называют гормоном стресса, и способствует расслаблению. Внутри данной раскраски вы найдёте не только уникальные иллюстрации, но и 16 успокаивающих аффирмаций, которые стоит проговаривать во время раскрашивания. Это действие усилит эффект, создаваемый процессом раскрашивания, и позволит войти в медитативное состояние, чтобы успокоить нервную систему. Лучше всего при раскрашивании использовать яркие и приятные для вас цвета, тогда процесс станет ещё более приятным. Эта раскраска станет вашим надёжным союзником в борьбе со стрессом и поможет обрести гармонию и спокойствие.</t>
  </si>
  <si>
    <t>9785378356942</t>
  </si>
  <si>
    <t>75f71e34661393d0ce5217263c07e044</t>
  </si>
  <si>
    <t>160х220х3</t>
  </si>
  <si>
    <t>СЕРИЯ: РАСКРАСКА-АНТИСТРЕСС  КБС мат. ламин. обл.190х230</t>
  </si>
  <si>
    <t>185492</t>
  </si>
  <si>
    <t>РАСКРАСКА-АНТИСТРЕСС 190х230. ТОЛЬКО КОТИКИ</t>
  </si>
  <si>
    <t>978-5-378-33555-8</t>
  </si>
  <si>
    <t xml:space="preserve">Раскраски-антистресс с невероятно милыми персонажами – котиками и собачками – помогут отвлечься от повседневных дел и отдохнуть и точно поднимут настроение! </t>
  </si>
  <si>
    <t>9785378335558</t>
  </si>
  <si>
    <t>190х230х3</t>
  </si>
  <si>
    <t>СЕРИЯ: РАСКРАСКА-АНТИСТРЕСС "Для вдохновения и отдыха" 16стр, выб.лак, картон.обл 195х205</t>
  </si>
  <si>
    <t>220090</t>
  </si>
  <si>
    <t>РАСКРАСКА-АНТИСТРЕСС "Для вдохновения и отдыха" ВОЛШЕБНЫЙ ЛЕС</t>
  </si>
  <si>
    <t>978-5-378-34585-4</t>
  </si>
  <si>
    <t>В современном ритме жизни, который отнимает много сил и энергии, просто необходимо находить время для себя! Новая серия раскрасок в трендовом стиле антистресс с темами  «Волшебный лес», «Чарующие узоры», «Загадочные мандалы», а так же «Мечтательная капибара» помогут отвлечься, расслабиться, поднять настроение - они станут настоящей терапией для вас или ваших близких, кому вы захотите сделать подарок. Берите с собой в путешествие или на прогулку, раскрашивайте цветными карандашами, ручками, маркерами или фломастерами, забудьте о правилах и ограничениях, слушайте своё сердце и погружайтесь в творчество!</t>
  </si>
  <si>
    <t>9785378345854</t>
  </si>
  <si>
    <t>d078c43e9b8d6dc98cb4b44756215e58</t>
  </si>
  <si>
    <t>СЕРИЯ: РАСКРАСКА-АНТИСТРЕСС "Зентанглы" на гребне, мат.ламин 145х203</t>
  </si>
  <si>
    <t>249532</t>
  </si>
  <si>
    <t>РАСКРАСКА-АНТИСТРЕСС "Зентанглы" Магия линий</t>
  </si>
  <si>
    <t>978-5-378-35497-9</t>
  </si>
  <si>
    <t>Зентангл — это особый вид арт-терапии, который способен не только помочь вам расслабиться, но также развивать творческое мышление. Попробуйте сами! Создавая зентанглы, вы наполняете свою жизнь удивительными абстрактными произведениями искусства. Они служат своего рода перезагрузкой мозга, позволяя почувствовать себя отдохнувшим и полным сил. Развивая навыки рисования, вы улучшаете зрительно-моторную координацию и обретаете уверенность в своих силах. К тому же для этого занятия не нужно специального оборудования — достаточно ручки и нашей раскраски.</t>
  </si>
  <si>
    <t>9785378354979</t>
  </si>
  <si>
    <t>f238c37fe4de6670871c61c00f7ea970</t>
  </si>
  <si>
    <t>150х200х10</t>
  </si>
  <si>
    <t>249530</t>
  </si>
  <si>
    <t>РАСКРАСКА-АНТИСТРЕСС "Зентанглы" Мир спокойствия</t>
  </si>
  <si>
    <t>978-5-378-35496-2</t>
  </si>
  <si>
    <t>9785378354962</t>
  </si>
  <si>
    <t>125428950bddc92b1afac029f79ff135</t>
  </si>
  <si>
    <t>СЕРИЯ: РАСКРАСКА-АНТИСТРЕСС 245х245</t>
  </si>
  <si>
    <t>154705</t>
  </si>
  <si>
    <t>РАСКРАСКА-АНТИСТРЕСС 245х245. ВДОХНОВЛЯЮЩИЕ ФРАЗЫ</t>
  </si>
  <si>
    <t>978-5-378-31175-0</t>
  </si>
  <si>
    <t>Каждая страница раскрасок - это новая вдохновляющая и мотивирующая фраза в сочетании с приятной иллюстрацией. Процесс раскрашивания превращается в своеобразное таинство и погружение во внутренний мир, свои мечты и цели. Вы сможете расслабиться и пофантазировать! А чудесные иллюстрации талантливых художников подарят эстетическое наслаждение!</t>
  </si>
  <si>
    <t>9785378311750</t>
  </si>
  <si>
    <t>245х245х3</t>
  </si>
  <si>
    <t>СЕРИЯ: РАСКРАСКА-АНТИСТРЕСС глянц.ламин.карт.обл КБС 242х300</t>
  </si>
  <si>
    <t>148648</t>
  </si>
  <si>
    <t>РАСКРАСКА-АНТИСТРЕСС</t>
  </si>
  <si>
    <t>978-5-378-30964-1</t>
  </si>
  <si>
    <t>Эта замечательная раскраска поможет расслабиться, избавиться от тревоги и проявить свои творческие способности. Крупные иллюстрации различной степени сложности легко подобрать под настроение. Используйте эту книгу, чтобы создать галерею собственных работ.</t>
  </si>
  <si>
    <t>9785378309641</t>
  </si>
  <si>
    <t>242х300х4</t>
  </si>
  <si>
    <t>190572</t>
  </si>
  <si>
    <t>РАСКРАСКА-АНТИСТРЕСС. ЗНАКИ ЗОДИАКА</t>
  </si>
  <si>
    <t>978-5-378-33920-4</t>
  </si>
  <si>
    <t>В этой большой антистресс-раскраске 48 страниц с изображениями всех 12 знаков зодиака и изящными девушками, олицетворяющими их. Закрашивание симметричных линий и повторяющихся деталей поможет сосредоточиться на творческом процессе и отвлечься от тревожных мыслей или расслабиться после трудного дня.</t>
  </si>
  <si>
    <t>9785378339204</t>
  </si>
  <si>
    <t>242х300х5</t>
  </si>
  <si>
    <t>192034</t>
  </si>
  <si>
    <t>РАСКРАСКА-АНТИСТРЕСС. КАРТЫ ТАРО</t>
  </si>
  <si>
    <t>978-5-378-33930-3</t>
  </si>
  <si>
    <t>Раскраска-антистресс "Карты Таро" - идеальный подарок как для себя, так и для друзей и знакомых! Замечательные атмосферные иллюстрации на страницах раскраски помогут снизить уровень стресса и тревоги, отдохнуть, полностью погрузившись в творчество.</t>
  </si>
  <si>
    <t>9785378339303</t>
  </si>
  <si>
    <t>СЕРИЯ: РАСКРАСКА-АНТИСТРЕСС на гребне 145х203</t>
  </si>
  <si>
    <t>261544</t>
  </si>
  <si>
    <t>РАСКРАСКА-АНТИСТРЕСС. Ностальгия</t>
  </si>
  <si>
    <t>978-5-378-35728-4</t>
  </si>
  <si>
    <t>Погрузитесь в атмосферу советского Нового года с этой уникальной антистресс-раскраской. В каждом изображении вас ждут уютные зимние пейзажи, праздничные интерьеры и символы эпохи - от ёлочных игрушек до новогодних салатов. Раскрашивание поможет расслабиться, вспомнить добрые моменты прошлого. Пусть эта раскраска станет маленьким путешествием в атмосферу доброты и ностальгии!</t>
  </si>
  <si>
    <t>9785378357284</t>
  </si>
  <si>
    <t>155х202х10</t>
  </si>
  <si>
    <t>СЕРИЯ: РАСКРАСКА-АНТИСТРЕСС. ДЕВУШКИ на гребне 145х203</t>
  </si>
  <si>
    <t>267367</t>
  </si>
  <si>
    <t>РАСКРАСКА-АНТИСТРЕСС. ДЕВУШКИ. Girls&amp;Dogs</t>
  </si>
  <si>
    <t>978-5-378-35938-7</t>
  </si>
  <si>
    <t>Представляем вам серию "Раскраски - Красивые Девушки" — идеальный подарок для любителей творчества и искусства! Каждая раскраска включает в себя 48 страниц с изящными и детальными изображениями девушек. Раскраски-антистресс идеальное решение для тех, кто ищет способ расслабиться и отвлечься от повседневной суеты! Используйте их не только как отличный способ провести время, но и как подарок для близких. Дарите радость и возможность окунуться в мир творчества вашим друзьям или родным!</t>
  </si>
  <si>
    <t>9785378359387</t>
  </si>
  <si>
    <t>267366</t>
  </si>
  <si>
    <t>РАСКРАСКА-АНТИСТРЕСС. ДЕВУШКИ. Девушка в кокошнике</t>
  </si>
  <si>
    <t>978-5-378-35937-0</t>
  </si>
  <si>
    <t>9785378359370</t>
  </si>
  <si>
    <t>251717</t>
  </si>
  <si>
    <t>РАСКРАСКА-АНТИСТРЕСС. ДЕВУШКИ. Песнь дракона</t>
  </si>
  <si>
    <t>978-5-378-35537-2</t>
  </si>
  <si>
    <t>Погрузитесь в мир творчества и релаксации с новинками серии "Раскраски. Девушки". В коллекцию входят две захватывающие антистресс раскраски: "Фэнтези девушки" и "Песнь дракона". Каждая брошюра содержит 48 страниц с детализированными иллюстрациями, которые перенесут вас в волшебные миры, полные загадок. Раскраски на гребне, для большего удобства при раскрашивании. Листы достаточной плотности позволяют раскрашивать картинки как карандашами, так и фломастерами. Наши раскраски — это прекрасный подарок на любой праздник!</t>
  </si>
  <si>
    <t>9785378355372</t>
  </si>
  <si>
    <t>251716</t>
  </si>
  <si>
    <t>РАСКРАСКА-АНТИСТРЕСС. ДЕВУШКИ. Фэнтези девушки</t>
  </si>
  <si>
    <t>978-5-378-35538-9</t>
  </si>
  <si>
    <t>9785378355389</t>
  </si>
  <si>
    <t>РАСКРАСКИ С ГЛАЗКАМИ</t>
  </si>
  <si>
    <t>СЕРИЯ: РАСКРАСКА с глазками 18мм, глянц.ламин, картон.обл 170х260</t>
  </si>
  <si>
    <t>245131</t>
  </si>
  <si>
    <t>РАСКРАСКА с глазками 18мм. ВЕСЁЛЫЙ ТРАНСПОРТ</t>
  </si>
  <si>
    <t>978-5-378-35349-1</t>
  </si>
  <si>
    <t>Серия занимательных раскрасок с овальными глазками отлично подойдёт для малышей. Небольшой формат позволит взять их с собой в дорогу. А благодаря глазкам персонажи выглядят ещё милее и забавнее, поэтому раскрашивать их весело и интересно!</t>
  </si>
  <si>
    <t>9785378353491</t>
  </si>
  <si>
    <t>170х260х2</t>
  </si>
  <si>
    <t>245134</t>
  </si>
  <si>
    <t>РАСКРАСКА с глазками 18мм. ДЛЯ МАЛЬЧИКОВ</t>
  </si>
  <si>
    <t>978-5-378-35351-4</t>
  </si>
  <si>
    <t>9785378353514</t>
  </si>
  <si>
    <t>245135</t>
  </si>
  <si>
    <t>РАСКРАСКА с глазками 18мм. ДОМАШНИЕ ЖИВОТНЫЕ</t>
  </si>
  <si>
    <t>978-5-378-35352-1</t>
  </si>
  <si>
    <t>9785378353521</t>
  </si>
  <si>
    <t>СЕРИЯ: РАСКРАСКА с глазками А4 196х282</t>
  </si>
  <si>
    <t>109741</t>
  </si>
  <si>
    <t>РАСКРАСКА А4 с глазками 22мм. ВЕСЁЛЫЕ ЗВЕРЯТА</t>
  </si>
  <si>
    <t>978-5-378-29276-9</t>
  </si>
  <si>
    <t>Серия занимательных раскрасок с глазками отлично подойдёт для малышей, которые начинают знакомиться с окружающим миром. На страницах этих раскрасок ребёнка ждут не только симпатичные «глазастые» картинки, которые интересно раскрашивать, но и краткие рассказы о различных животных, насекомых-букашках и транспорте. Рисуйте, читайте, фантазируйте!</t>
  </si>
  <si>
    <t>9785378292769</t>
  </si>
  <si>
    <t>Раскраска с глазками</t>
  </si>
  <si>
    <t>196х282х4</t>
  </si>
  <si>
    <t>109740</t>
  </si>
  <si>
    <t>РАСКРАСКА А4 с глазками 22мм. ДЛЯ ДЕВОЧЕК</t>
  </si>
  <si>
    <t>978-5-378-29190-8</t>
  </si>
  <si>
    <t>9785378291908</t>
  </si>
  <si>
    <t>СЕРИЯ: РАСКРАСКА с глазками А5 глянц.ламин.165х230</t>
  </si>
  <si>
    <t>158946</t>
  </si>
  <si>
    <t>РАСКРАСКА с глазками А5. БУКАШКИ</t>
  </si>
  <si>
    <t>978-5-378-31511-6</t>
  </si>
  <si>
    <t>Раскрашивать персонажей с глазками всегда весело и интересно! На страницах новых раскрасок удобного формата каждый малыш найдёт то, что ему по душе: животных, фей, машинки, роботов и многое другое!</t>
  </si>
  <si>
    <t>9785378315116</t>
  </si>
  <si>
    <t>1dd531730355619e7222d52ee66950eb</t>
  </si>
  <si>
    <t>165х230х4</t>
  </si>
  <si>
    <t>158945</t>
  </si>
  <si>
    <t>РАСКРАСКА с глазками А5. ДИКИЕ ЖИВОТНЫЕ</t>
  </si>
  <si>
    <t>978-5-378-31510-9</t>
  </si>
  <si>
    <t>9785378315109</t>
  </si>
  <si>
    <t>ef1b11e307a15ad47c89f81b538a1962</t>
  </si>
  <si>
    <t>158940</t>
  </si>
  <si>
    <t>РАСКРАСКА с глазками А5. ДЛЯ ДЕВОЧЕК</t>
  </si>
  <si>
    <t>978-5-378-31505-5</t>
  </si>
  <si>
    <t>9785378315055</t>
  </si>
  <si>
    <t>12210324a84213a8be42708919f4251c</t>
  </si>
  <si>
    <t>158941</t>
  </si>
  <si>
    <t>РАСКРАСКА с глазками А5. ДЛЯ МАЛЫШЕЙ</t>
  </si>
  <si>
    <t>978-5-378-31506-2</t>
  </si>
  <si>
    <t>9785378315062</t>
  </si>
  <si>
    <t>ba7f7c241cdf63ec529746d0d2e63436</t>
  </si>
  <si>
    <t>158939</t>
  </si>
  <si>
    <t>РАСКРАСКА с глазками А5. ДЛЯ МАЛЬЧИКОВ</t>
  </si>
  <si>
    <t>978-5-378-31504-8</t>
  </si>
  <si>
    <t>9785378315048</t>
  </si>
  <si>
    <t>bd6a07d9e20fcc7a7595accc757d480e</t>
  </si>
  <si>
    <t>158942</t>
  </si>
  <si>
    <t>РАСКРАСКА с глазками А5. МОРСКИЕ ОБИТАТЕЛИ</t>
  </si>
  <si>
    <t>978-5-378-31507-9</t>
  </si>
  <si>
    <t>9785378315079</t>
  </si>
  <si>
    <t>56be599f4a8d9fede4218e5e371f34b2</t>
  </si>
  <si>
    <t>158943</t>
  </si>
  <si>
    <t>РАСКРАСКА с глазками А5. НА ФЕРМЕ</t>
  </si>
  <si>
    <t>978-5-378-31508-6</t>
  </si>
  <si>
    <t>9785378315086</t>
  </si>
  <si>
    <t>0f3df62c565809d58265ab47efe1e893</t>
  </si>
  <si>
    <t>158944</t>
  </si>
  <si>
    <t>РАСКРАСКА с глазками А5. ТРАНСПОРТ</t>
  </si>
  <si>
    <t>978-5-378-315093</t>
  </si>
  <si>
    <t>9785378315093</t>
  </si>
  <si>
    <t>74c8b474ffb14d8b98f7c2bc057f5b84</t>
  </si>
  <si>
    <t>СЕРИЯ: 3D РАСКРАСКА глянц. ламин. картон.обл. 160х240</t>
  </si>
  <si>
    <t>253345</t>
  </si>
  <si>
    <t>3D РАСКРАСКА. Дикие животные</t>
  </si>
  <si>
    <t>978-5-378-35589-1</t>
  </si>
  <si>
    <t>Прекрасная серия раскрасок "3D раскраска" идеально подойдет для маленьких художников. Милые лесные животные и любимые питомцы буквально оживают на картинках. А машины так и норовят уехать со страницы. А все потому, что иллюстрации в нарисованы в 3D стиле! Данные раскраски помогут весело провести время, развить терпение, аккуратность и внимательность. Благодаря удобному формату раскраску можно брать с собой в путешествие.</t>
  </si>
  <si>
    <t>9785378355891</t>
  </si>
  <si>
    <t>a0047df0352f66318e4209a54abd79a6</t>
  </si>
  <si>
    <t>160x240x4</t>
  </si>
  <si>
    <t>253340</t>
  </si>
  <si>
    <t>3D РАСКРАСКА. Котики</t>
  </si>
  <si>
    <t>978-5-378-35588-4</t>
  </si>
  <si>
    <t>9785378355884</t>
  </si>
  <si>
    <t>0583770c8d4d56878eb374169981ffb5</t>
  </si>
  <si>
    <t>253343</t>
  </si>
  <si>
    <t>3D РАСКРАСКА. Собачки</t>
  </si>
  <si>
    <t>978-5-378-35499-3</t>
  </si>
  <si>
    <t>9785378354993</t>
  </si>
  <si>
    <t>ca1ad3912adfc7a53143cd45258f84fc</t>
  </si>
  <si>
    <t>253344</t>
  </si>
  <si>
    <t>3D РАСКРАСКА. Транспорт</t>
  </si>
  <si>
    <t>978-5-378-35500-6</t>
  </si>
  <si>
    <t>9785378355006</t>
  </si>
  <si>
    <t>f83a90bbc5857cf09617706ec84e60ee</t>
  </si>
  <si>
    <t>СЕРИЯ: BABY-РАСКРАСКА глянц. ламин. 200х200</t>
  </si>
  <si>
    <t>144114</t>
  </si>
  <si>
    <t>BABY-РАСКРАСКА. ДЛЯ ДЕВОЧЕК</t>
  </si>
  <si>
    <t>978-5-378-30818-7</t>
  </si>
  <si>
    <t>Серия "Baby-раскраска" - это брошюры удобного формата с милыми картинками. Крупные иллюстрации с толстым контуром смогут красиво раскрасить даже самые маленькие художники. Издания помогут укрепить ребёнку мышцы руки и развить моторику.</t>
  </si>
  <si>
    <t>9785378308187</t>
  </si>
  <si>
    <t>200х200х3</t>
  </si>
  <si>
    <t>144113</t>
  </si>
  <si>
    <t>BABY-РАСКРАСКА. ДЛЯ МАЛЬЧИКОВ</t>
  </si>
  <si>
    <t>978-5-378-30902-3</t>
  </si>
  <si>
    <t>9785378309023</t>
  </si>
  <si>
    <t xml:space="preserve">СЕРИЯ: IQ РАСКРАСКА. с вырубкой 195х276 </t>
  </si>
  <si>
    <t>106869</t>
  </si>
  <si>
    <t>IQ РАСКРАСКА. ДИНОЗАВРИК</t>
  </si>
  <si>
    <t>978-5-378-29182-3</t>
  </si>
  <si>
    <t>Раскраски в форме котёнка, панды, крабика и динозаврика - это не только милые детские рисунки, но и занимательные задания на каждой странице.</t>
  </si>
  <si>
    <t>9785378291823</t>
  </si>
  <si>
    <t>СЕРИЯ: АКТИВИТИ РАСКРАСКА. ИГРАЕМ И РИСУЕМ глянц.ламин. картон.обл. 165х230</t>
  </si>
  <si>
    <t>184021</t>
  </si>
  <si>
    <t>АКТИВИТИ-РАСКРАСКА. ИГРАЕМ И РИСУЕМ. ДИНОЗАВРЫ</t>
  </si>
  <si>
    <t>978-5-378-33489-6</t>
  </si>
  <si>
    <t>Новые раскраски помогут вашему ребёнку провести время с пользой. На страницах его ждут не только персонажи для раскрашивания, но и увлекательные игры и задания. Рисовать будет не скучно!</t>
  </si>
  <si>
    <t>9785378334896</t>
  </si>
  <si>
    <t>165x230x2</t>
  </si>
  <si>
    <t>СЕРИЯ: АНИМЕ РАСКРАСКА ДЛЯ МАРКЕРОВ глянц. ламин. картон.обл. 213х213</t>
  </si>
  <si>
    <t>228370</t>
  </si>
  <si>
    <t>АНИМЕ РАСКРАСКА ДЛЯ МАРКЕРОВ. Герои в стиле Genshin Impact</t>
  </si>
  <si>
    <t>978-5-378-34781-0</t>
  </si>
  <si>
    <t>Новая серия «Аниме-раскраски для маркеров» создана не только для фанатов жанра аниме и творчества, но и для тех, кто следит за трендами! В серии 4 раскраски по 24 картинки на трендовые темы. В каждой их четырёх раскрасок по 24 иллюстрации, в том числе в стиле популярной игры, с очаровательными  персонажами с ушками и хвостами и чудесными фантазийными сюжетами, окутанных тайной... Создайте свою собственную цветовую палитру и дайте волю фантазии, раскрашивая страницы новой серии раскрасок в стиле аниме! Разнообразие и динамизм современной жизни.</t>
  </si>
  <si>
    <t>9785378347810</t>
  </si>
  <si>
    <t>90ab1e31511ae54d24d94be937b78d45</t>
  </si>
  <si>
    <t>213х213х4</t>
  </si>
  <si>
    <t>228372</t>
  </si>
  <si>
    <t>АНИМЕ РАСКРАСКА ДЛЯ МАРКЕРОВ. Современные девчонки</t>
  </si>
  <si>
    <t>978-5-378-34783-4</t>
  </si>
  <si>
    <t>9785378347834</t>
  </si>
  <si>
    <t>b447af0e8a1c0efe00d333a376c25535</t>
  </si>
  <si>
    <t>СЕРИЯ: КРУТЫЕ РАСКРАСКИ глянц. ламин. картон.обл.195х276</t>
  </si>
  <si>
    <t>212781</t>
  </si>
  <si>
    <t>КРУТЫЕ РАСКРАСКИ. ВОЕННАЯ ТЕХНИКА</t>
  </si>
  <si>
    <t>978-5-378-34408-6</t>
  </si>
  <si>
    <t>Новая серия «Крутые раскраски» для мальчиков - это 4 раскраски по 24 картинки на популярные темы: «Гонки», «Военная техника», «Самолёты» и Машины-роботы». Раскрашивание станет увлекательным и успокаивающим занятием после шумных активных игр, будет способствовать развитию ребёнка, его ассоциативного мышления, внимания, художественного вкуса и усидчивости, поможет научиться правильно держать карандаш. А ещё поможет найти и порадовать друзей! Ведь такие крутые сюжеты - тачки, самолёты, роботы и многое другое - захочется раскрашивать и обсуждать всем вместе!</t>
  </si>
  <si>
    <t>9785378344086</t>
  </si>
  <si>
    <t>212778</t>
  </si>
  <si>
    <t>КРУТЫЕ РАСКРАСКИ. ГОНКИ</t>
  </si>
  <si>
    <t>978-5-378-34409-3</t>
  </si>
  <si>
    <t>9785378344093</t>
  </si>
  <si>
    <t>212779</t>
  </si>
  <si>
    <t>КРУТЫЕ РАСКРАСКИ. МАШИНЫ-РОБОТЫ</t>
  </si>
  <si>
    <t>978-5-378-34411-6</t>
  </si>
  <si>
    <t>9785378344116</t>
  </si>
  <si>
    <t>212780</t>
  </si>
  <si>
    <t>КРУТЫЕ РАСКРАСКИ. САМОЛЁТЫ</t>
  </si>
  <si>
    <t>978-5-378-34410-9</t>
  </si>
  <si>
    <t>9785378344109</t>
  </si>
  <si>
    <t>СЕРИЯ: ЛЁГКАЯ РАСКРАСКА на гребне 145х203</t>
  </si>
  <si>
    <t>267371</t>
  </si>
  <si>
    <t>ЛЁГКАЯ РАСКРАСКА на гребне. ЗАБАВНЫЙ АНТИСТРЕСС</t>
  </si>
  <si>
    <t>978-5-378-35920-2</t>
  </si>
  <si>
    <t>9785378359202</t>
  </si>
  <si>
    <t>150х203х13</t>
  </si>
  <si>
    <t>267370</t>
  </si>
  <si>
    <t>ЛЁГКАЯ РАСКРАСКА на гребне. МИЛЫЕ КАРТИНКИ</t>
  </si>
  <si>
    <t>978-5-378-35919-6</t>
  </si>
  <si>
    <t>9785378359196</t>
  </si>
  <si>
    <t>СЕРИЯ: МАСТЕР-КЛАСС ДЛЯ НОВИЧКОВ глянц. ламин. картон.обл.195х280</t>
  </si>
  <si>
    <t>228272</t>
  </si>
  <si>
    <t>МАСТЕР-КЛАСС ДЛЯ НОВИЧКОВ. Рисуем аниме. Девчонки</t>
  </si>
  <si>
    <t>978-5-378-34747-6</t>
  </si>
  <si>
    <t>Перед тобой уникальное пособие по созданию девчонок в стиле аниме. Доступные инструкции и простые схемы, важные советы и полезные упражнения - совсем скоро ты научишься не только рисовать лица и фигуры героинь, но и сможешь придумать для них уникальные повседневные или волшебные образы.</t>
  </si>
  <si>
    <t>9785378347476</t>
  </si>
  <si>
    <t>195х280х4</t>
  </si>
  <si>
    <t>228273</t>
  </si>
  <si>
    <t>МАСТЕР-КЛАСС ДЛЯ НОВИЧКОВ. Рисуем аниме. Шаг за шагом</t>
  </si>
  <si>
    <t>978-5-378-34748-3</t>
  </si>
  <si>
    <t>Ты творческая натура и любишь японскую анимацию? Тогда это то, что нужно! Представляем пособие по созданию персонажей в стиле аниме. Доступные пошаговые инструкции, простые схемы и полезные советы - совсем скоро ты научишься не только рисовать лица и фигуры героев, но и сможешь придумать для них уникальные повседневные или волшебные образы.</t>
  </si>
  <si>
    <t>9785378347483</t>
  </si>
  <si>
    <t>СЕРИЯ: МОЯ РАСКРАСКА глянц. ламин. картон.обл.195х276</t>
  </si>
  <si>
    <t>207705</t>
  </si>
  <si>
    <t>МОЯ РАСКРАСКА А4 чёрная. АНИМЕ</t>
  </si>
  <si>
    <t>978-5-378-34352-2</t>
  </si>
  <si>
    <t>Цвет настроения ЧЁРНЫЙ? Раскрашиваем своё настроение во все цвета радуги! Благодаря крупным изображениям раскраски подойдут как для малышей, так и для мальчишек и девчонок постарше.</t>
  </si>
  <si>
    <t>9785378343522</t>
  </si>
  <si>
    <t>79558e4a81b8961236ef92ee30e75dd1</t>
  </si>
  <si>
    <t>Моя раскраска</t>
  </si>
  <si>
    <t>130937</t>
  </si>
  <si>
    <t>МОЯ РАСКРАСКА А4 чёрная. В ЗООПАРКЕ</t>
  </si>
  <si>
    <t>978-5-378-30153-9</t>
  </si>
  <si>
    <t>9785378301539</t>
  </si>
  <si>
    <t>8ae39ee87e5b1fd9a2dbd46c34519a34</t>
  </si>
  <si>
    <t>207707</t>
  </si>
  <si>
    <t>МОЯ РАСКРАСКА А4 чёрная. ВОЛШЕБНАЯ СТРАНА</t>
  </si>
  <si>
    <t>978-5-378-34354-6</t>
  </si>
  <si>
    <t>9785378343546</t>
  </si>
  <si>
    <t>1ad50c1a5b04d5005c107d3ccae24a61</t>
  </si>
  <si>
    <t>093122</t>
  </si>
  <si>
    <t>МОЯ РАСКРАСКА А4 чёрная. ДИНОЗАВРИКИ</t>
  </si>
  <si>
    <t>978-5-378-28815-1</t>
  </si>
  <si>
    <t>9785378288151</t>
  </si>
  <si>
    <t>207708</t>
  </si>
  <si>
    <t>МОЯ РАСКРАСКА А4 чёрная. КАВАЙИ</t>
  </si>
  <si>
    <t>978-5-378-34355-3</t>
  </si>
  <si>
    <t>9785378343553</t>
  </si>
  <si>
    <t>8e3318ffec553addfa3500491b7db654</t>
  </si>
  <si>
    <t>130938</t>
  </si>
  <si>
    <t>МОЯ РАСКРАСКА А4 чёрная. КЛАССНЫЕ ДЕВЧОНКИ</t>
  </si>
  <si>
    <t>978-5-378-30154-6</t>
  </si>
  <si>
    <t>9785378301546</t>
  </si>
  <si>
    <t>6e0b186ba25fb4e9d1e817b031ff20c2</t>
  </si>
  <si>
    <t>130939</t>
  </si>
  <si>
    <t>МОЯ РАСКРАСКА А4 чёрная. КОСМИЧЕСКИЙ ПОЛЁТ</t>
  </si>
  <si>
    <t>978-5-378-30155-3</t>
  </si>
  <si>
    <t>9785378301553</t>
  </si>
  <si>
    <t>9a2c953a561795b77e8b3ea7459ac663</t>
  </si>
  <si>
    <t>124061</t>
  </si>
  <si>
    <t>МОЯ РАСКРАСКА А4 чёрная. МАЛЫШИ-ЗВЕРЯТА</t>
  </si>
  <si>
    <t>978-5-378-29835-8</t>
  </si>
  <si>
    <t>9785378298358</t>
  </si>
  <si>
    <t>08bb436d7d2f7eab16513c51d50ebd03</t>
  </si>
  <si>
    <t>093125</t>
  </si>
  <si>
    <t>МОЯ РАСКРАСКА А4 чёрная. МИЛЫЕ ПОДРУГИ</t>
  </si>
  <si>
    <t>978-5-378-28813-7</t>
  </si>
  <si>
    <t>9785378288137</t>
  </si>
  <si>
    <t>6e67c0a3fc9d8e570f845a5f3af96299</t>
  </si>
  <si>
    <t>124060</t>
  </si>
  <si>
    <t>МОЯ РАСКРАСКА А4 чёрная. МОЙ ДРУГ ЕДИНОРОГ</t>
  </si>
  <si>
    <t>978-5-378-29836-5</t>
  </si>
  <si>
    <t>9785378298365</t>
  </si>
  <si>
    <t>a3f4e11716d640dddddb77faac009361</t>
  </si>
  <si>
    <t>130940</t>
  </si>
  <si>
    <t>МОЯ РАСКРАСКА А4 чёрная. МОНСТРИКИ</t>
  </si>
  <si>
    <t>978-5-378-30156-0</t>
  </si>
  <si>
    <t>9785378301560</t>
  </si>
  <si>
    <t>59943a896e5e78e7dac39b162a2e00bb</t>
  </si>
  <si>
    <t>125887</t>
  </si>
  <si>
    <t>МОЯ РАСКРАСКА А4 чёрная. СКАЗОЧНЫЙ МИР</t>
  </si>
  <si>
    <t>978-5-378-29929-4</t>
  </si>
  <si>
    <t>9785378299294</t>
  </si>
  <si>
    <t>a948c54ff3365d02186ed99d2c4b0df1</t>
  </si>
  <si>
    <t>114251</t>
  </si>
  <si>
    <t>МОЯ РАСКРАСКА А4 чёрная. СТИЛЬНЫЕ ЗВЕРЯТА</t>
  </si>
  <si>
    <t>978-5-378-29488-6</t>
  </si>
  <si>
    <t>9785378294886</t>
  </si>
  <si>
    <t>СЕРИЯ: ОЧЕНЬ БОЛЬШАЯ РАСКРАСКА  430х1000, в индивидуальной коробке</t>
  </si>
  <si>
    <t>075651</t>
  </si>
  <si>
    <t>ОЧЕНЬ БОЛЬШАЯ РАСКРАСКА. ЗАБАВНЫЕ ЗВЕРЯТА</t>
  </si>
  <si>
    <t>978-5-378-27997-5</t>
  </si>
  <si>
    <t>Эта раскраска-плакат станет отличным развлечением для всей семьи: её могут раскрашивать одновременно несколько человек! На ней изображены забавные зверята, о которых можно придумывать собственные истории,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</si>
  <si>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9785378279975</t>
  </si>
  <si>
    <t>15.02.2018 0:00:00</t>
  </si>
  <si>
    <t>Очень большая раскраска</t>
  </si>
  <si>
    <t>460х50х50</t>
  </si>
  <si>
    <t>СЕРИЯ: ПОСМОТРИ И РАСКРАСЬ А4 мелов.обл. 195х276</t>
  </si>
  <si>
    <t>220586</t>
  </si>
  <si>
    <t>ПОСМОТРИ И РАСКРАСЬ А4. ДЛЯ ДЕВЧОНОК</t>
  </si>
  <si>
    <t>978-5-378-34582-3</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</si>
  <si>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девчонок» мы собрали милые иллюстрации, которые понравятся маленьким принцессам.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</si>
  <si>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9785378345823</t>
  </si>
  <si>
    <t>5fb7f073580c62dfecc5d80fab7ae6c4</t>
  </si>
  <si>
    <t>220587</t>
  </si>
  <si>
    <t>ПОСМОТРИ И РАСКРАСЬ А4. ДЛЯ МАЛЬЧИШЕК</t>
  </si>
  <si>
    <t>978-5-378-34583-0</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</si>
  <si>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мальчишек» мы собрали озорные иллюстрации, которые понравятся неугомонным мальчишкам.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</si>
  <si>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9785378345830</t>
  </si>
  <si>
    <t>a9bb450d35c12caac22ad5498fa756fd</t>
  </si>
  <si>
    <t>222347</t>
  </si>
  <si>
    <t>ПОСМОТРИ И РАСКРАСЬ А4. ДОМАШНИЕ ЖИВОТНЫЕ</t>
  </si>
  <si>
    <t>978-5-378-34619-6</t>
  </si>
  <si>
    <t>9785378346196</t>
  </si>
  <si>
    <t>d5e78630bdaf36b0e79c7cdf7d14a6f1</t>
  </si>
  <si>
    <t>220588</t>
  </si>
  <si>
    <t>ПОСМОТРИ И РАСКРАСЬ А4. МИЛЫЕ ЖИВОТНЫЕ</t>
  </si>
  <si>
    <t>978-5-378-34584-7</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</si>
  <si>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«Милые животные» мы собрали весёлые иллюстрации, которые понравятся всем деткам.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</si>
  <si>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9785378345847</t>
  </si>
  <si>
    <t>0138a39817d8a1f09a39468bf120d5f2</t>
  </si>
  <si>
    <t>222349</t>
  </si>
  <si>
    <t>ПОСМОТРИ И РАСКРАСЬ А4. ПЕРВЫЕ КАРТИНКИ</t>
  </si>
  <si>
    <t>978-5-378-34620-2</t>
  </si>
  <si>
    <t>9785378346202</t>
  </si>
  <si>
    <t>472e2e310323d378deeddb787113c14f</t>
  </si>
  <si>
    <t>220589</t>
  </si>
  <si>
    <t>ПОСМОТРИ И РАСКРАСЬ А4. ПЁСИКИ И КОТИКИ</t>
  </si>
  <si>
    <t>978-5-378-34581-6</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</si>
  <si>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«Пёсики и котики» мы собрали самые милые иллюстрации, которые точно понравятся малышам.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</si>
  <si>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9785378345816</t>
  </si>
  <si>
    <t>6cc5369e2c8c1a7b1302f13c83e78c66</t>
  </si>
  <si>
    <t>222351</t>
  </si>
  <si>
    <t>ПОСМОТРИ И РАСКРАСЬ А4. ТАКОЙ РАЗНЫЙ ТРАНСПОРТ</t>
  </si>
  <si>
    <t>978-5-378-34621-9</t>
  </si>
  <si>
    <t>9785378346219</t>
  </si>
  <si>
    <t>0fef4f5bec495edd3a784523095a28c1</t>
  </si>
  <si>
    <t>СЕРИЯ: РАСКРАСКА - ВИММЕЛЬБУХ 235х330</t>
  </si>
  <si>
    <t>154881</t>
  </si>
  <si>
    <t>РАСКРАСКА-ВИММЕЛЬБУХ. ВОЛШЕБНЫЕ ЗВЕРЯТА</t>
  </si>
  <si>
    <t>978-5-378-31225-2</t>
  </si>
  <si>
    <t>Если обычные раскраски уже не интересны ребёнку, подарите ему книги серии "Раскраска-виммельбух". Насыщенные деталями иллюстрации с большим количеством интересных героев надолго увлекут маленького художника. Теперь скучать не придётся!</t>
  </si>
  <si>
    <t>9785378312252</t>
  </si>
  <si>
    <t>183542</t>
  </si>
  <si>
    <t>РАСКРАСКА-ВИММЕЛЬБУХ. КОСМИЧЕСКИЕ ПРИКЛЮЧЕНИЯ</t>
  </si>
  <si>
    <t>978-5-378-33296-0</t>
  </si>
  <si>
    <t>9785378332960</t>
  </si>
  <si>
    <t>СЕРИЯ: РАСКРАСКА - ГИГАНТ в индивид.коробке 680х1010</t>
  </si>
  <si>
    <t>176553</t>
  </si>
  <si>
    <t>РАСКРАСКА-ГИГАНТ. ВЕСЁЛЫЙ ГОРОД</t>
  </si>
  <si>
    <t>978-5-378-32884-0</t>
  </si>
  <si>
    <t>"Раскраска-гигант" - настоящее приключение для всей семьи. Благодаря размеру картинку смогут раскрашивать сразу несколько человек. Ламинированная основа позволит делать это даже на ковре. С помощью клеевых креплений раскрашенный плакат удобно повесить на стену и любоваться своим шедевром! Вместе с персонажами раскраски вы можете окунуться в удивительный мир космоса, динозавров, милых зверят или отправиться в путешествие вокруг света. "Раскраска-гигант" надолго увлечёт и ребёнка, и родителей.</t>
  </si>
  <si>
    <t>9785378328840</t>
  </si>
  <si>
    <t>690х65х65</t>
  </si>
  <si>
    <t>159123</t>
  </si>
  <si>
    <t>РАСКРАСКА-ГИГАНТ. ДИНОЗАВРИКИ</t>
  </si>
  <si>
    <t>978-5-378-31550-5</t>
  </si>
  <si>
    <t>9785378315505</t>
  </si>
  <si>
    <t>159122</t>
  </si>
  <si>
    <t>РАСКРАСКА-ГИГАНТ. КАРТА МИРА</t>
  </si>
  <si>
    <t>978-5-378-31551-2</t>
  </si>
  <si>
    <t>9785378315512</t>
  </si>
  <si>
    <t>159120</t>
  </si>
  <si>
    <t>РАСКРАСКА-ГИГАНТ. КОСМОС</t>
  </si>
  <si>
    <t>978-5-378-31549-9</t>
  </si>
  <si>
    <t>9785378315499</t>
  </si>
  <si>
    <t>176551</t>
  </si>
  <si>
    <t>РАСКРАСКА-ГИГАНТ. МИР МАШИН</t>
  </si>
  <si>
    <t>978-5-378-32887-1</t>
  </si>
  <si>
    <t>9785378328871</t>
  </si>
  <si>
    <t>176549</t>
  </si>
  <si>
    <t>РАСКРАСКА-ГИГАНТ. ФЕРМА</t>
  </si>
  <si>
    <t>978-5-378-32885-7</t>
  </si>
  <si>
    <t>9785378328857</t>
  </si>
  <si>
    <t>СЕРИЯ: РАСКРАСКА - СТРАШИЛКА мелов.обл. 165х235</t>
  </si>
  <si>
    <t>206374</t>
  </si>
  <si>
    <t>РАСКРАСКА - СТРАШИЛКА. МИЛЫЕ СТРАШИЛКИ</t>
  </si>
  <si>
    <t>978-5-378-34291-4</t>
  </si>
  <si>
    <t xml:space="preserve">Могут ли монстры быть ну о-о-очень милыми? Конечно, если это персонажи наших новых раскрасок: «Ужасные милашки», «Милые страшилки», «Страшные няшки», «Няшные монстры». Ребенок не останется равнодушным – он вмиг оживит цветом всех героев!  </t>
  </si>
  <si>
    <t>9785378342914</t>
  </si>
  <si>
    <t>165х235х1</t>
  </si>
  <si>
    <t>206375</t>
  </si>
  <si>
    <t>РАСКРАСКА - СТРАШИЛКА. НЯШНЫЕ МОНСТРЫ</t>
  </si>
  <si>
    <t>978-5-378-34292-1</t>
  </si>
  <si>
    <t>9785378342921</t>
  </si>
  <si>
    <t>206376</t>
  </si>
  <si>
    <t>РАСКРАСКА - СТРАШИЛКА. СТРАШНЫЕ НЯШКИ</t>
  </si>
  <si>
    <t>978-5-378-34293-8</t>
  </si>
  <si>
    <t>9785378342938</t>
  </si>
  <si>
    <t>206373</t>
  </si>
  <si>
    <t>РАСКРАСКА - СТРАШИЛКА. УЖАСНЫЕ МИЛАШКИ</t>
  </si>
  <si>
    <t>978-5-378-34290-7</t>
  </si>
  <si>
    <t>9785378342907</t>
  </si>
  <si>
    <t>СЕРИЯ: РАСКРАСКА "100 КАРТИНОК ПО НОМЕРАМ" на гребне 190х190</t>
  </si>
  <si>
    <t>256213</t>
  </si>
  <si>
    <t>РАСКРАСКА. 100 КАРТИНОК ПО НОМЕРАМ. В МИРЕ ПРИКЛЮЧЕНИЙ</t>
  </si>
  <si>
    <t>978-5-378-35584-6</t>
  </si>
  <si>
    <t>Раскраски по номерам не дадут скучать вашему ребёнку, ведь его ждут 100 интересных картинок разного уровня сложности. Каждой цифре соответствует определённый цвет, указанный на странице. Раскраски по номерам помогут детям развить мелкую моторику, внимательность и аккуратность, а также позволят провести время весело и с пользой.</t>
  </si>
  <si>
    <t>9785378355846</t>
  </si>
  <si>
    <t>200х190х11</t>
  </si>
  <si>
    <t>256214</t>
  </si>
  <si>
    <t>РАСКРАСКА. 100 КАРТИНОК ПО НОМЕРАМ. В МИРЕ ЧУДЕС</t>
  </si>
  <si>
    <t>978-5-378-35585-3</t>
  </si>
  <si>
    <t>9785378355853</t>
  </si>
  <si>
    <t>200х190х15</t>
  </si>
  <si>
    <t>СЕРИЯ: РАСКРАСКА "100 КАРТИНОК"  глянц.ламин. картон.обл. КБС 242х300</t>
  </si>
  <si>
    <t>152878</t>
  </si>
  <si>
    <t>РАСКРАСКА 100 КАРТИНОК. 100 милых картинок для девочек</t>
  </si>
  <si>
    <t>978-5-378-31061-6</t>
  </si>
  <si>
    <t>В новой серии раскрасок для детей представлены добрые, красивые иллюстрации, которые понравятся любому ребёнку. Малыш сможет долго не расставься с любимыми героями, ведь в каждой раскраске очень много картинок.</t>
  </si>
  <si>
    <t>9785378310616</t>
  </si>
  <si>
    <t>242х300х6</t>
  </si>
  <si>
    <t>СЕРИЯ: РАСКРАСКА "50 КАРТИНОК" глянц.ламин. 160х230</t>
  </si>
  <si>
    <t>233226</t>
  </si>
  <si>
    <t>РАСКРАСКА 50 КАРТИНОК. АНИМЕ</t>
  </si>
  <si>
    <t>978-5-378-34899-2</t>
  </si>
  <si>
    <t>В новой серии мини-раскрасок ещё больше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</si>
  <si>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9785378348992</t>
  </si>
  <si>
    <t>906300205f77c87bcd2cff47b5586e1b</t>
  </si>
  <si>
    <t>161x230x4</t>
  </si>
  <si>
    <t>СЕРИЯ: РАСКРАСКА "ВИТРАЖИ" глянц.ламин. картон.обл КБС 242х300</t>
  </si>
  <si>
    <t>223892</t>
  </si>
  <si>
    <t>РАСКРАСКА ВИТРАЖИ. БОГИНИ СВЕТА</t>
  </si>
  <si>
    <t>978-5-378-34680-6</t>
  </si>
  <si>
    <t>Создайте свою коллекцию витражей с новой серией раскрасок. Необходимо просто выбрать подходящий сюжет, заполнить цветом пространство между контурами витража и ваш собственный шедевр готов! Раскраска поможет расслабиться и насладиться процессом созидания. прекрасный способ снять стресс и развить свои творческие способности!</t>
  </si>
  <si>
    <t>9785378346806</t>
  </si>
  <si>
    <t>a56192151ef5cb59e4083a22d72b7101</t>
  </si>
  <si>
    <t>235х300х3</t>
  </si>
  <si>
    <t>223894</t>
  </si>
  <si>
    <t>РАСКРАСКА ВИТРАЖИ. ЧАРУЮЩИЕ МАНДАЛЫ</t>
  </si>
  <si>
    <t>978-5-378-34682-0</t>
  </si>
  <si>
    <t>9785378346820</t>
  </si>
  <si>
    <t>dc6ba20b667daab518d304a64d55d30d</t>
  </si>
  <si>
    <t>СЕРИЯ: РАСКРАСКА "МАСТЕРСКАЯ КРАСОТЫ"  глян.ламин.обл 195х276</t>
  </si>
  <si>
    <t>146985</t>
  </si>
  <si>
    <t>РАСКРАСКА. МАСТЕРСКАЯ КРАСОТЫ. АЛИНА</t>
  </si>
  <si>
    <t>978-5-378-30887-3</t>
  </si>
  <si>
    <t>Новые раскраски уже полюбившейся серии понравятся модницам! Внутри их ждут не только сюжеты для раскрашивания, но и странички, где можно проявить свою фантазию и почувствовать себя в роли дизайнера-придумывать новые детали одежды и сумочек, делать маникюр, причёски и макияж и многое другое!</t>
  </si>
  <si>
    <t>9785378308873</t>
  </si>
  <si>
    <t>130946</t>
  </si>
  <si>
    <t>РАСКРАСКА. МАСТЕРСКАЯ КРАСОТЫ. НИКА</t>
  </si>
  <si>
    <t>978-5-378-30174-4</t>
  </si>
  <si>
    <t>Новая серия раскрасок "Мастерская красоты" обязательно понравится юным модницам, которые любят фантазировать и рисовать! У героини каждой раскраски уже есть имя, ей можно раскрашивать наряды, добавлять к ним детали и аксессуары, делать причёску, макияж и стильный маникюр, придумывать имя питомцу и многое другое! Попробовать себя в роли стилиста будет интересно каждой девчонке!</t>
  </si>
  <si>
    <t>9785378301744</t>
  </si>
  <si>
    <t>130950</t>
  </si>
  <si>
    <t>РАСКРАСКА. МАСТЕРСКАЯ КРАСОТЫ. ПОЛИНА</t>
  </si>
  <si>
    <t>978-5-378-30175-1</t>
  </si>
  <si>
    <t>9785378301751</t>
  </si>
  <si>
    <t>СЕРИЯ: РАСКРАСКА "МИР АНИМЕ" глянц.ламин. картон.обл. 195х286</t>
  </si>
  <si>
    <t>226092</t>
  </si>
  <si>
    <t>РАСКРАСКА МИР АНИМЕ. ДЕВОЧКИ &amp; МАЛЬЧИКИ</t>
  </si>
  <si>
    <t>978-5-378-34712-4</t>
  </si>
  <si>
    <t>Представляем раскраски с сюжетами, соответствующими всем канонам стиля аниме. Они надолго увлекут не только фанатов японской анимации, но и тех, кто еще только знакомится с ней. Почувствуйте себя причастным к созданию удивительного мира.</t>
  </si>
  <si>
    <t>9785378347124</t>
  </si>
  <si>
    <t>7433a9b93bb7a78d6decbb5796e9d655</t>
  </si>
  <si>
    <t>195х286х2</t>
  </si>
  <si>
    <t>226093</t>
  </si>
  <si>
    <t>РАСКРАСКА МИР АНИМЕ. МОДНИЦЫ</t>
  </si>
  <si>
    <t>978-5-378-34713-1</t>
  </si>
  <si>
    <t>9785378347131</t>
  </si>
  <si>
    <t>7c6a86ce468ddc63682340551661520e</t>
  </si>
  <si>
    <t>226095</t>
  </si>
  <si>
    <t>РАСКРАСКА МИР АНИМЕ. СУПЕРГЕРОИНИ</t>
  </si>
  <si>
    <t>978-5-378-34714-8</t>
  </si>
  <si>
    <t>9785378347148</t>
  </si>
  <si>
    <t>9c70b8b1f40c3c4182967ed4c3f0f485</t>
  </si>
  <si>
    <t>226096</t>
  </si>
  <si>
    <t>РАСКРАСКА МИР АНИМЕ. ШКОЛЬНИКИ</t>
  </si>
  <si>
    <t>978-5-378-34715-5</t>
  </si>
  <si>
    <t>9785378347155</t>
  </si>
  <si>
    <t>1a7901feb789afe5d5559b2ea1327583</t>
  </si>
  <si>
    <t>СЕРИЯ: РАСКРАСКА А5 глянц.ламин,картон.обл.140х210</t>
  </si>
  <si>
    <t>240158</t>
  </si>
  <si>
    <t>РАСКРАСКА А5. ДИКИЕ ЖИВОТНЫЕ</t>
  </si>
  <si>
    <t>978-5-378-35177-0</t>
  </si>
  <si>
    <t>В новой серии мини-раскрасок найдется множество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</si>
  <si>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9785378351770</t>
  </si>
  <si>
    <t>2988c8000ee9b5448068f4bf3359cc21</t>
  </si>
  <si>
    <t>140х210х2</t>
  </si>
  <si>
    <t>240159</t>
  </si>
  <si>
    <t>РАСКРАСКА А5. ДОМАШНИЕ ЖИВОТНЫЕ</t>
  </si>
  <si>
    <t>978-5-378-35178-7</t>
  </si>
  <si>
    <t>9785378351787</t>
  </si>
  <si>
    <t>c095449bb017dfa8e0f6a8fc3588ff1a</t>
  </si>
  <si>
    <t>240160</t>
  </si>
  <si>
    <t>РАСКРАСКА А5. ПРИНЦЕССЫ</t>
  </si>
  <si>
    <t>978-5-378-35179-4</t>
  </si>
  <si>
    <t>9785378351794</t>
  </si>
  <si>
    <t>e76a6f5549c68f9fdc10b3ceb6972b1d</t>
  </si>
  <si>
    <t>240161</t>
  </si>
  <si>
    <t>РАСКРАСКА А5. ТРАНСПОРТ</t>
  </si>
  <si>
    <t>978-5-378-35180-0</t>
  </si>
  <si>
    <t>9785378351800</t>
  </si>
  <si>
    <t>b28e39c6472d004ae47991622c12753e</t>
  </si>
  <si>
    <t>СЕРИЯ: РАСКРАСКА В КОРЕЙСКОМ СТИЛЕ мат.ламин, выб.лак, картон.обл. КБС 195х260</t>
  </si>
  <si>
    <t>261526</t>
  </si>
  <si>
    <t>РАСКРАСКА В КОРЕЙСКОМ СТИЛЕ. И пришла любовь...</t>
  </si>
  <si>
    <t>978-5-378-35776-5</t>
  </si>
  <si>
    <t>Окунитесь в атмосферу корейского уюта и романтики с антистресс-раскраской «И пришла любовь...»! В новой раскраске серии «Раскраска в корейском стиле» 64 страницы с детализированными иллюстрациями. Перенеситесь на живописные улочки Кореи, насладитесь умиротворяющими пейзажами и изящными образами девушек, милыми парочками и общей атмосферой любви.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</si>
  <si>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9785378357765</t>
  </si>
  <si>
    <t>Ким Су Мин</t>
  </si>
  <si>
    <t>f14afe5faf915fd767ab10d5d55cca12</t>
  </si>
  <si>
    <t>196х260х6</t>
  </si>
  <si>
    <t>263125</t>
  </si>
  <si>
    <t>РАСКРАСКА В КОРЕЙСКОМ СТИЛЕ. Милые зверята</t>
  </si>
  <si>
    <t>978-5-378-35817-5</t>
  </si>
  <si>
    <t>Погрузитесь в атмосферу уюта и милостей с антистресс-раскраской «Милые зверята»! В новой раскраске серии «Раскраска в корейском стиле»  64 страницы с детализированными иллюстрациями. Окунитесь в уютное путешествие с нежностью и добротой. Забавные проделки, трогательные сюжеты и море милоты в лучших традициях эстетики.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</si>
  <si>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9785378358175</t>
  </si>
  <si>
    <t>Ким Юн Су</t>
  </si>
  <si>
    <t>5691d97b0c8f3d0fab3f326ae60f7ac1</t>
  </si>
  <si>
    <t>253331</t>
  </si>
  <si>
    <t>РАСКРАСКА В КОРЕЙСКОМ СТИЛЕ. Уютная Корея</t>
  </si>
  <si>
    <t>978-5-378-35578-5</t>
  </si>
  <si>
    <t>Погрузитесь в мир творчества и релаксации с новинками серии "Раскраска в корейском стиле". В коллекцию входят две прекрасные антистресс раскраски: "Чудесные мгновения" и "Уютная Корея". Каждая брошюра содержит 64 страницы с детализированными иллюстрациями корейских улочек, умиротворяющих пейзажей и прекрасных девушек. Листы достаточной плотности позволяют раскрашивать картинки как карандашами, так и фломастерами. К милым иллюстрациям добавлены фразы на корейском языке с переводом, чтобы вы могли оценить красоту корейского языка.
Раскраски для души — это прекрасный подарок на любой праздник!</t>
  </si>
  <si>
    <t>9785378355785</t>
  </si>
  <si>
    <t>9ec3224616713074d824f60f64d486dd</t>
  </si>
  <si>
    <t>253329</t>
  </si>
  <si>
    <t>РАСКРАСКА В КОРЕЙСКОМ СТИЛЕ. Чудесные мгновения</t>
  </si>
  <si>
    <t>978-5-378-35577-8</t>
  </si>
  <si>
    <t>9785378355778</t>
  </si>
  <si>
    <t>90a9f303fb83f64b6234655c11ae5b0d</t>
  </si>
  <si>
    <t>СЕРИЯ: РАСКРАСКА ДЛЯ БОЛЬШИХ МАРКЕРОВ картон.обл. 195х276</t>
  </si>
  <si>
    <t>243736</t>
  </si>
  <si>
    <t>РАСКРАСКА ДЛЯ БОЛЬШИХ МАРКЕРОВ. Для самых маленьких</t>
  </si>
  <si>
    <t>978-5-378-35312-5</t>
  </si>
  <si>
    <t>Раскраска с цветными иллюстрациями создана специально для больших точечных маркеров, но также подойдёт для рисования пальчиками, карандашами и фломастерами! На каждой странице есть белые кружочки, которые необходимо аккуратно закрасить соответствующим цветом, благодаря чему ребёнок активно тренирует мелкую моторику, логику, аккуратность и учится запоминать цвета.</t>
  </si>
  <si>
    <t>9785378353125</t>
  </si>
  <si>
    <t>01b948c65f653d7ddfd07c688f3b447b</t>
  </si>
  <si>
    <t>195x276x3</t>
  </si>
  <si>
    <t>243737</t>
  </si>
  <si>
    <t>РАСКРАСКА ДЛЯ БОЛЬШИХ МАРКЕРОВ. Любимые животные</t>
  </si>
  <si>
    <t>978-5-378-35313-2</t>
  </si>
  <si>
    <t>9785378353132</t>
  </si>
  <si>
    <t>СЕРИЯ: РАСКРАСКА ДЛЯ ДЕВЧОНОК обл - мелов.бум.195х275</t>
  </si>
  <si>
    <t>124223</t>
  </si>
  <si>
    <t>РАСКРАСКА ДЛЯ ДЕВЧОНОК. КОРОЛЕВА ТАНЦЕВ</t>
  </si>
  <si>
    <t>978-5-378-29887-7</t>
  </si>
  <si>
    <t>Раскрашивание развивает фантазию и художественный вкус ребёнка. В раскраске «Королева танцев» юную художницу ждут прекрасные танцовщицы в красивых платьях и интересных па. Бери скорее карандаш в руки - давай творить!</t>
  </si>
  <si>
    <t>9785378298877</t>
  </si>
  <si>
    <t>121296</t>
  </si>
  <si>
    <t>РАСКРАСКА ДЛЯ ДЕВЧОНОК. МОДНИЦА</t>
  </si>
  <si>
    <t>978-5-378-29711-5</t>
  </si>
  <si>
    <t>Новую серию раскрасок для девочек открывают две брошюры. "Принцесса" удивит прелестными платьями, а "Модница" разнообразием нарядов. Каждый из сюжетов этих раскрасок хочется немедленно оживить яркими красками!</t>
  </si>
  <si>
    <t>9785378297115</t>
  </si>
  <si>
    <t>123638</t>
  </si>
  <si>
    <t>РАСКРАСКА ДЛЯ ДЕВЧОНОК. НЕВЕСТА</t>
  </si>
  <si>
    <t>978-5-378-29807-5</t>
  </si>
  <si>
    <t>Перед вами долгожданные новинки серии "Раскраски для девчонок"! Брошюра "Невеста" посвящена самому красивому празднику, о котором мечтает каждая девочка. Роскошные наряды гостей и молодожёнов, необычные аксессуары, цветочные композиции теперь можно раскрасить по своему вкусу. "Питомцы принцесс" - это милая брошюра о дружбе девочек с настоящими и фантастическими животными.</t>
  </si>
  <si>
    <t>9785378298075</t>
  </si>
  <si>
    <t>123639</t>
  </si>
  <si>
    <t>РАСКРАСКА ДЛЯ ДЕВЧОНОК. ПИТОМЦЫ ПРИНЦЕСС</t>
  </si>
  <si>
    <t>978-5-378-29811-2</t>
  </si>
  <si>
    <t>9785378298112</t>
  </si>
  <si>
    <t>121295</t>
  </si>
  <si>
    <t>РАСКРАСКА ДЛЯ ДЕВЧОНОК. ПРИНЦЕССА</t>
  </si>
  <si>
    <t>978-5-378-29712-2</t>
  </si>
  <si>
    <t>9785378297122</t>
  </si>
  <si>
    <t>124222</t>
  </si>
  <si>
    <t>РАСКРАСКА ДЛЯ ДЕВЧОНОК. САМАЯ МОДНАЯ</t>
  </si>
  <si>
    <t>978-5-378-29880-8</t>
  </si>
  <si>
    <t>Раскрашивание развивает фантазию и художественный вкус ребёнка. С раскраской «Самая модная» юная художница почувствует себя настоящим дизайнером одежды! Бери скорее карандаш в руки - давай творить!</t>
  </si>
  <si>
    <t>9785378298808</t>
  </si>
  <si>
    <t>124221</t>
  </si>
  <si>
    <t>РАСКРАСКА ДЛЯ ДЕВЧОНОК. СОВРЕМЕННЫЕ ДЕВЧОНКИ</t>
  </si>
  <si>
    <t>978-5-378-29888-4</t>
  </si>
  <si>
    <t>Раскрашивание развивает фантазию и художественный вкус ребёнка. С раскраской «Современные девчонки» никому не будет скучно: можно покататься на самокате, а можно пообедать в любимом азиатском кафе. Бери скорее карандаш в руки - давай творить!</t>
  </si>
  <si>
    <t>9785378298884</t>
  </si>
  <si>
    <t>124220</t>
  </si>
  <si>
    <t>РАСКРАСКА ДЛЯ ДЕВЧОНОК. СПОРТИВНЫЕ ДЕВЧОНКИ</t>
  </si>
  <si>
    <t>978-5-378-29825-9</t>
  </si>
  <si>
    <t>9785378298259</t>
  </si>
  <si>
    <t>СЕРИЯ: РАСКРАСКА ДЛЯ МАЛЬЧИКОВ глян.ламин. 195х275</t>
  </si>
  <si>
    <t>131542</t>
  </si>
  <si>
    <t>РАСКРАСКА ДЛЯ МАЛЬЧИКОВ. АВТОМОБИЛИ</t>
  </si>
  <si>
    <t>978-5-378-30199-7</t>
  </si>
  <si>
    <t>Чем можно заинтересовать мальчишек в возрасте от двух лет? Конечно, разными машинками и самолётами! А как сделать, чтобы дети ещё и развивались при этом? Взять наши "Раскраски для мальчиков"! Это не просто раскраска - это знакомство с разными видами транспорта, это по максимуму приближенные к реальности рисунки, это весёлые познавательные стихи и факты. Гарантируем полезное и интересное времяпрепровождение!</t>
  </si>
  <si>
    <t>9785378301997</t>
  </si>
  <si>
    <t>Раскраски для мальчиков</t>
  </si>
  <si>
    <t>СЕРИЯ: РАСКРАСКА для мальчиков. СОВРЕМЕННЫЕ СУПЕРГЕРОИ глянц.ламин. 235х330</t>
  </si>
  <si>
    <t>200985</t>
  </si>
  <si>
    <t>РАСКРАСКА для мальчиков. СОВРЕМЕННЫЕ СУПЕРГЕРОИ. Военная авиация и корабли</t>
  </si>
  <si>
    <t>978-5-378-34186-3</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</si>
  <si>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Для самых юных художников подойдут фантазийные "Космические воины", ребятам постарше будут понятны раскраски "Военная авиация и корабли", "Солдаты-победители" и "Герои среди нас" - важно с детства понимать, что "герой" - не просто слово, а цена, которой достигается это звание, порой очень высока. </t>
  </si>
  <si>
    <t>9785378341863</t>
  </si>
  <si>
    <t>235x330x4</t>
  </si>
  <si>
    <t>229266</t>
  </si>
  <si>
    <t>РАСКРАСКА для мальчиков. СОВРЕМЕННЫЕ СУПЕРГЕРОИ. Военная мощь России</t>
  </si>
  <si>
    <t>978-5-378-34792-6</t>
  </si>
  <si>
    <t>Раскраска «Военная мощь России» посвящена всем тем, кто отстаивает честь нашей Родины. На её страницах ребят ждёт самая новейшая боевая техника, находящаяся на вооружении Российской Федерации.
Солдаты, танки, автоматы, подводные лодки, самолёты и вертолёты — мы собрали в этой брошюре всё, что так нравится мальчишкам!</t>
  </si>
  <si>
    <t>9785378347926</t>
  </si>
  <si>
    <t>213694</t>
  </si>
  <si>
    <t>РАСКРАСКА для мальчиков. СОВРЕМЕННЫЕ СУПЕРГЕРОИ. День Победы</t>
  </si>
  <si>
    <t>978-5-378-34479-6</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</si>
  <si>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t>
  </si>
  <si>
    <t>9785378344796</t>
  </si>
  <si>
    <t>213693</t>
  </si>
  <si>
    <t>РАСКРАСКА для мальчиков. СОВРЕМЕННЫЕ СУПЕРГЕРОИ. Ракетчики и артиллерия</t>
  </si>
  <si>
    <t>978-5-378-34473-4</t>
  </si>
  <si>
    <t>9785378344734</t>
  </si>
  <si>
    <t>200988</t>
  </si>
  <si>
    <t>РАСКРАСКА для мальчиков. СОВРЕМЕННЫЕ СУПЕРГЕРОИ. Солдаты-победители</t>
  </si>
  <si>
    <t>978-5-378-34185-6</t>
  </si>
  <si>
    <t>9785378341856</t>
  </si>
  <si>
    <t>c6dd26fdc634d1a2beb7dea76d09b740</t>
  </si>
  <si>
    <t>224707</t>
  </si>
  <si>
    <t>РАСКРАСКА для мальчиков. СОВРЕМЕННЫЕ СУПЕРГЕРОИ. Спасатели и пожарные</t>
  </si>
  <si>
    <t>978-5-378-34692-9</t>
  </si>
  <si>
    <t>Раскраска «Спасатели и пожарные» - это история в картинках о представителях одних из самых сложных и почётных профессий. Ими гордятся Россия и россияне, их духу завидует весь мир, их стойкость поражает! Что бы не случилось, они всегда придут на помощь и выполнят свой профессиональный и человеческий долг.
Рисунки – качественные, детализированные и эмоциональные, юные художники смогут рассмотреть нюансы и проникнуться силой духа мужественных людей.
Раскраску можно взять с собой в садик или красить дома, также она отлично подойдёт в качестве подарка мальчишкам и поможет сформировать в системе ценностей малыша верные приоритеты и уважение к людям непростых профессий.</t>
  </si>
  <si>
    <t>9785378346929</t>
  </si>
  <si>
    <t>213692</t>
  </si>
  <si>
    <t>РАСКРАСКА для мальчиков. СОВРЕМЕННЫЕ СУПЕРГЕРОИ. Спецназ</t>
  </si>
  <si>
    <t>978-5-378-34472-7</t>
  </si>
  <si>
    <t>9785378344727</t>
  </si>
  <si>
    <t>213695</t>
  </si>
  <si>
    <t>РАСКРАСКА для мальчиков. СОВРЕМЕННЫЕ СУПЕРГЕРОИ. Танкисты</t>
  </si>
  <si>
    <t>978-5-378-34480-2</t>
  </si>
  <si>
    <t>9785378344802</t>
  </si>
  <si>
    <t>СЕРИЯ: РАСКРАСКА ДЛЯ ТОЧЕЧНЫХ МАРКЕРОВ глянц.ламин.,картон.обл. 195х276</t>
  </si>
  <si>
    <t>243723</t>
  </si>
  <si>
    <t>РАСКРАСКА ДЛЯ ТОЧЕЧНЫХ МАРКЕРОВ. ДЛЯ ДЕВОЧЕК</t>
  </si>
  <si>
    <t>978-5-378-35310-1</t>
  </si>
  <si>
    <t>В данной раскраске собраны яркие занимательные картинки, предназначенные для раскрашивания точечными маркерами. Это увлекательное занятие поможет ребёнку развить мелкую моторику и творческие способности. Каждая страница содержит красочные иллюстрации, способные превратиться в настоящие шедевры в руках юных художников!</t>
  </si>
  <si>
    <t>9785378353101</t>
  </si>
  <si>
    <t>3f1d6290c3379ea249d0298352b9404d</t>
  </si>
  <si>
    <t>243724</t>
  </si>
  <si>
    <t>РАСКРАСКА ДЛЯ ТОЧЕЧНЫХ МАРКЕРОВ. ДЛЯ МАЛЬЧИКОВ</t>
  </si>
  <si>
    <t>978-5-378-35311-8</t>
  </si>
  <si>
    <t>9785378353118</t>
  </si>
  <si>
    <t>СЕРИЯ: РАСКРАСКА ДЛЯ ФАНАТОВ выб.лак. КБС 242х300</t>
  </si>
  <si>
    <t>192081</t>
  </si>
  <si>
    <t>РАСКРАСКА ДЛЯ ФАНАТОВ. ДЛЯ ФАНАТОВ АНИМЕ</t>
  </si>
  <si>
    <t>978-5-378-33881-8</t>
  </si>
  <si>
    <t>Серию «Раскраска для фанатов» составили четыре тематических сборника: для любителей аниме, единорогов, динозавров и, конечно, котиков. В каждой 80-страничной раскраске, в зависимости от направления, собраны самые разные сюжеты — оживляя их красками, юный художник не потеряет интерес до самого конца книжки.</t>
  </si>
  <si>
    <t>9785378338818</t>
  </si>
  <si>
    <t>192084</t>
  </si>
  <si>
    <t>РАСКРАСКА ДЛЯ ФАНАТОВ. ДЛЯ ФАНАТОВ ДИНОЗАВРОВ</t>
  </si>
  <si>
    <t>978-5-378-33883-2</t>
  </si>
  <si>
    <t>9785378338832</t>
  </si>
  <si>
    <t>СЕРИЯ: РАСКРАСКА НАОБОРОТ на гребне мат. ламин. картон.обл.145х203</t>
  </si>
  <si>
    <t>264419</t>
  </si>
  <si>
    <t>РАСКРАСКА НАОБОРОТ. РИСУЙ ПО КОНТУРУ</t>
  </si>
  <si>
    <t>978-5-378-35866-3</t>
  </si>
  <si>
    <t>«Раскраска наоборот» подарит вам необычный и вдохновляющий творческий опыт. На её страницах — акварельные фоны в мягких пастельных тонах и белые контуры, словно намёк на изображение. Всё просто: возьмите ручку, линер или маркер, обведите линии — и наблюдайте, как картина оживает прямо под вашей рукой. Без выбора цветов. Без спешки. Только форма, внимание и удовольствие от процесса. Эта книга — идеальный способ расслабиться, замедлиться и насладиться моментом осознанного творчества.</t>
  </si>
  <si>
    <t>9785378358663</t>
  </si>
  <si>
    <t>0eb70e76c97643662bd4204c891b28cb</t>
  </si>
  <si>
    <t>СЕРИЯ: РАСКРАСКА ПО НОМЕРАМ  целл.карт. 195х275</t>
  </si>
  <si>
    <t>062804</t>
  </si>
  <si>
    <t>РАСКРАСКА  ПО НОМЕРАМ. ВЕСЁЛЫЙ ЗООПАРК</t>
  </si>
  <si>
    <t>978-5-378-27238-9</t>
  </si>
  <si>
    <t>Раскраски по номерам помогут провести время интересно и с пользой. Каждой цифре в раскраске соответствует определённый цвет, указанный на обложке. Подберите карандаши или фломастеры нужных цветов - и за дело! Превращая чёрно-белые картинки в цветные изображения при помощи цветного кода, ребёнок развивает аккуратность, внимательность, усидчивость и повторяет цифры.</t>
  </si>
  <si>
    <t>9785378272389</t>
  </si>
  <si>
    <t>a856b6d97ef1acf3fd40db3acf6de667</t>
  </si>
  <si>
    <t>Раскраска по номерам</t>
  </si>
  <si>
    <t>255360</t>
  </si>
  <si>
    <t>РАСКРАСКА  ПО НОМЕРАМ. ВОЛШЕБНАЯ ВСЕЛЕННАЯ</t>
  </si>
  <si>
    <t>978-5-378-35614-0</t>
  </si>
  <si>
    <t>Серия раскрасок по номерам создана для детей, подростков и взрослых. Каждая страница разделена на ячейки с номерками, обозначающими определенные оттенки. 25 цветных карандашей — и вы уже погрузились в творчество. Прекрасный результат гарантирован! В процессе раскрашивания можно как развлечься и интересно провести время, так и расслабиться и отвлечься от суеты.</t>
  </si>
  <si>
    <t>9785378356140</t>
  </si>
  <si>
    <t>9451fa9d46c48813c3f7abe1ae89278d</t>
  </si>
  <si>
    <t>062803</t>
  </si>
  <si>
    <t>РАСКРАСКА  ПО НОМЕРАМ. ВОЛШЕБНЫЙ ЦИРК</t>
  </si>
  <si>
    <t>978-5-378-27237-2</t>
  </si>
  <si>
    <t>9785378272372</t>
  </si>
  <si>
    <t>8f536191f8d43a1bd12896c2e483d262</t>
  </si>
  <si>
    <t>136535</t>
  </si>
  <si>
    <t>РАСКРАСКА  ПО НОМЕРАМ. ДИНОЗАВРЫ</t>
  </si>
  <si>
    <t>978-5-378-30533-9</t>
  </si>
  <si>
    <t>9785378305339</t>
  </si>
  <si>
    <t>bde9f6fb959e9ebfc65279a65f270356</t>
  </si>
  <si>
    <t>062801</t>
  </si>
  <si>
    <t>РАСКРАСКА  ПО НОМЕРАМ. ДЛЯ ДЕВОЧЕК</t>
  </si>
  <si>
    <t>978-5-378-27240-2</t>
  </si>
  <si>
    <t>9785378272402</t>
  </si>
  <si>
    <t>4658c209f1ad2e13740a6ef9a1051c88</t>
  </si>
  <si>
    <t>136536</t>
  </si>
  <si>
    <t>РАСКРАСКА  ПО НОМЕРАМ. ДЛЯ СМЕЛЫХ МАЛЬЧИШЕК</t>
  </si>
  <si>
    <t>978-5-378-30536-0</t>
  </si>
  <si>
    <t>9785378305360</t>
  </si>
  <si>
    <t>8a013a390fc8798b340ab74071b8d955</t>
  </si>
  <si>
    <t>136539</t>
  </si>
  <si>
    <t>РАСКРАСКА  ПО НОМЕРАМ. ДЛЯ ТВОРЧЕСКИХ ДЕВЧОНОК</t>
  </si>
  <si>
    <t>978-5-378-30534-6</t>
  </si>
  <si>
    <t>9785378305346</t>
  </si>
  <si>
    <t>b2bb331c994ef82cd16d3ffe67c15d15</t>
  </si>
  <si>
    <t>255363</t>
  </si>
  <si>
    <t>РАСКРАСКА  ПО НОМЕРАМ. ЗАГАДОЧНЫЙ МИР</t>
  </si>
  <si>
    <t>978-5-378-35617-1</t>
  </si>
  <si>
    <t>9785378356171</t>
  </si>
  <si>
    <t>9d788171df0659f402e175fc57cbe28b</t>
  </si>
  <si>
    <t>136538</t>
  </si>
  <si>
    <t>РАСКРАСКА  ПО НОМЕРАМ. МИР ТРАНСПОРТА</t>
  </si>
  <si>
    <t>978-5-378-30535-3</t>
  </si>
  <si>
    <t>9785378305353</t>
  </si>
  <si>
    <t>255362</t>
  </si>
  <si>
    <t>РАСКРАСКА  ПО НОМЕРАМ. ТАИНСТВЕННАЯ МАНГА</t>
  </si>
  <si>
    <t>978-5-378-35616-4</t>
  </si>
  <si>
    <t>9785378356164</t>
  </si>
  <si>
    <t>255361</t>
  </si>
  <si>
    <t>РАСКРАСКА  ПО НОМЕРАМ. УДИВИТЕЛЬНЫЕ ОБРАЗЫ</t>
  </si>
  <si>
    <t>978-5-378-35615-7</t>
  </si>
  <si>
    <t>9785378356157</t>
  </si>
  <si>
    <t>062802</t>
  </si>
  <si>
    <t>РАСКРАСКА ПО НОМЕРАМ. ДЛЯ МАЛЬЧИКОВ</t>
  </si>
  <si>
    <t>978-5-378-27239-6</t>
  </si>
  <si>
    <t>9785378272396</t>
  </si>
  <si>
    <t>e52607739e232f667e055434e066cdcc</t>
  </si>
  <si>
    <t>СЕРИЯ: РАСКРАСКА ПО НОМЕРАМ мелов.обл. 12 стр. 195х275</t>
  </si>
  <si>
    <t>218828</t>
  </si>
  <si>
    <t>РАСКРАСКА ПО НОМЕРАМ. ДИНОЗАВРЫ</t>
  </si>
  <si>
    <t>978-5-378-34553-3</t>
  </si>
  <si>
    <t>Серия раскрасок по номерам позволит провести время весело и с пользой. Каждой цифре соответствует определённый цвет, указанный на странице. Раскраски по номерам помогут детям развить внимательность, усидчивость и аккуратность.</t>
  </si>
  <si>
    <t>9785378345533</t>
  </si>
  <si>
    <t>218825</t>
  </si>
  <si>
    <t>РАСКРАСКА ПО НОМЕРАМ. ДЛЯ ДЕВОЧЕК</t>
  </si>
  <si>
    <t>978-5-378-34556-4</t>
  </si>
  <si>
    <t>9785378345564</t>
  </si>
  <si>
    <t>218824</t>
  </si>
  <si>
    <t>978-5-378-34555-7</t>
  </si>
  <si>
    <t>9785378345557</t>
  </si>
  <si>
    <t>218827</t>
  </si>
  <si>
    <t>РАСКРАСКА ПО НОМЕРАМ. ЗВЕРЯТА</t>
  </si>
  <si>
    <t>978-5-378-34554-0</t>
  </si>
  <si>
    <t>9785378345540</t>
  </si>
  <si>
    <t>СЕРИЯ: РАСКРАСКА С БРАСЛЕТИКАМИ в пакете, мелов.обл. 197х275</t>
  </si>
  <si>
    <t>196787</t>
  </si>
  <si>
    <t>РАСКРАСКА С БРАСЛЕТИКАМИ. ВОЛШЕБНИЦЫ</t>
  </si>
  <si>
    <t>978-5-378-34089-7</t>
  </si>
  <si>
    <t>Наши раскраски несомненно порадуют маленькую художницу! В модной серии представлены иллюстрации на любой вкус. Любительницам животных придутся по вкусу картинки с милыми зверятами. Те, кто обожает волшебство, придут в восторг от фей. И, конечно, наши картинки стильных девчонок понравятся абсолютно всем! 
А какая модная серия может обойтись без аксессуаров? Именно поэтому в каждую раскраску мы положили в подарок два ярких и модных браслета, чтобы маленькая принцесса смогла дополнить ими любой свой образ!</t>
  </si>
  <si>
    <t>9785378340897</t>
  </si>
  <si>
    <t>ad4737f48b1d506d32169820edb5556a</t>
  </si>
  <si>
    <t>197х275х10</t>
  </si>
  <si>
    <t>196788</t>
  </si>
  <si>
    <t>РАСКРАСКА С БРАСЛЕТИКАМИ. МОДНИЦЫ</t>
  </si>
  <si>
    <t>978-5-378-34090-3</t>
  </si>
  <si>
    <t>9785378340903</t>
  </si>
  <si>
    <t>445707d6759c14e9d3455567b5f8437f</t>
  </si>
  <si>
    <t>196790</t>
  </si>
  <si>
    <t>РАСКРАСКА С БРАСЛЕТИКАМИ. МОДНЫЕ ЗВЕРЯТА</t>
  </si>
  <si>
    <t>978-5-378-34091-0</t>
  </si>
  <si>
    <t>9785378340910</t>
  </si>
  <si>
    <t>99e61d1ba6cc5fd78632bd3ffd64fb50</t>
  </si>
  <si>
    <t>196791</t>
  </si>
  <si>
    <t>РАСКРАСКА С БРАСЛЕТИКАМИ. ТОЛЬКО ДЛЯ СТИЛЬНЫХ ДЕВЧОНОК</t>
  </si>
  <si>
    <t>978-5-378-34092-7</t>
  </si>
  <si>
    <t>9785378340927</t>
  </si>
  <si>
    <t>8f4177c6fbe54844fddbe2b7645c68f2</t>
  </si>
  <si>
    <t>СЕРИЯ: РАСКРАСКА С КАРАНДАШАМИ в пакете 195х280</t>
  </si>
  <si>
    <t>187341</t>
  </si>
  <si>
    <t>РАСКРАСКА С КАРАНДАШАМИ. ВЕСЁЛЫЕ КАНИКУЛЫ</t>
  </si>
  <si>
    <t>978-5-378-33779-8</t>
  </si>
  <si>
    <t>Раскраски с карандашами - лучшие спутники малыша на прогулке и в путешествии. Они не дадут заскучать и порадуют интересными картинками.</t>
  </si>
  <si>
    <t>9785378337798</t>
  </si>
  <si>
    <t>195х280х10</t>
  </si>
  <si>
    <t>187342</t>
  </si>
  <si>
    <t>РАСКРАСКА С КАРАНДАШАМИ. ДИКИЕ ЖИВОТНЫЕ</t>
  </si>
  <si>
    <t>978-5-378-33780-4</t>
  </si>
  <si>
    <t>9785378337804</t>
  </si>
  <si>
    <t>204753</t>
  </si>
  <si>
    <t>РАСКРАСКА С КАРАНДАШАМИ. ДЛЯ ДЕВОЧЕК</t>
  </si>
  <si>
    <t>978-5-378-34276-1</t>
  </si>
  <si>
    <t>9785378342761</t>
  </si>
  <si>
    <t>204752</t>
  </si>
  <si>
    <t>РАСКРАСКА С КАРАНДАШАМИ. ДЛЯ МАЛЫШЕЙ</t>
  </si>
  <si>
    <t>978-5-378-34275-4</t>
  </si>
  <si>
    <t>9785378342754</t>
  </si>
  <si>
    <t>204750</t>
  </si>
  <si>
    <t>РАСКРАСКА С КАРАНДАШАМИ. КОШКИ И СОБАКИ</t>
  </si>
  <si>
    <t>978-5-378-34273-0</t>
  </si>
  <si>
    <t>9785378342730</t>
  </si>
  <si>
    <t>187343</t>
  </si>
  <si>
    <t>РАСКРАСКА С КАРАНДАШАМИ. ЛЮБИМЫЕ ЗВЕРУШКИ</t>
  </si>
  <si>
    <t>978-5-378-33781-1</t>
  </si>
  <si>
    <t>9785378337811</t>
  </si>
  <si>
    <t>187344</t>
  </si>
  <si>
    <t>РАСКРАСКА С КАРАНДАШАМИ. НА ДРУГОЙ ПЛАНЕТЕ</t>
  </si>
  <si>
    <t>978-5-378-33782-8</t>
  </si>
  <si>
    <t>9785378337828</t>
  </si>
  <si>
    <t>204751</t>
  </si>
  <si>
    <t>РАСКРАСКА С КАРАНДАШАМИ. ПРЕКРАСНЫЕ ПРИНЦЕССЫ</t>
  </si>
  <si>
    <t>978-5-378-34274-7</t>
  </si>
  <si>
    <t>9785378342747</t>
  </si>
  <si>
    <t>СЕРИЯ: РАСКРАСКА С КОНСТРУКТОРОМ в пакете, картон.обл. 215х310</t>
  </si>
  <si>
    <t>233199</t>
  </si>
  <si>
    <t>РАСКРАСКА С КОНСТРУКТОРОМ. КОТ</t>
  </si>
  <si>
    <t>978-5-378-34895-4</t>
  </si>
  <si>
    <t>Брошюры новой серии «Раскраска с конструктором» - настоящая находка для юных художников, любителей компьютерных игр и фанатов конструкторов! Предлагаем сразу несколько видов занятий под одной обложкой: раскрашивайте персонажей, выполняйте задания, собирайте героя из конструктора и используйте в собственных играх!
С нашими раскрасками точно не заскучаешь, а ещё они помогут развить навыки счёта, мелкую моторику, воображение и логическое мышление.</t>
  </si>
  <si>
    <t>9785378348954</t>
  </si>
  <si>
    <t>3fd72342498b639068f36d7703373297</t>
  </si>
  <si>
    <t>240x317x25</t>
  </si>
  <si>
    <t>233202</t>
  </si>
  <si>
    <t>РАСКРАСКА С КОНСТРУКТОРОМ. КРОЛИК</t>
  </si>
  <si>
    <t>978-5-378-34896-1</t>
  </si>
  <si>
    <t>9785378348961</t>
  </si>
  <si>
    <t>714970c4d270590ce1794858cf4be5e4</t>
  </si>
  <si>
    <t>233200</t>
  </si>
  <si>
    <t>РАСКРАСКА С КОНСТРУКТОРОМ. ПОПУГАЙ</t>
  </si>
  <si>
    <t>978-5-378-34897-8</t>
  </si>
  <si>
    <t>9785378348978</t>
  </si>
  <si>
    <t>d6b34c6fd6f7b45f18eecee0defbe8c7</t>
  </si>
  <si>
    <t>233201</t>
  </si>
  <si>
    <t>РАСКРАСКА С КОНСТРУКТОРОМ. СОБАКА</t>
  </si>
  <si>
    <t>978-5-378-34898-5</t>
  </si>
  <si>
    <t>9785378348985</t>
  </si>
  <si>
    <t>1395d688e52e4a20d335a7f906e0439c</t>
  </si>
  <si>
    <t>СЕРИЯ: РАСКРАСКА С КРОССВОРДАМИ глянц.ламин. картон.обл.196х240</t>
  </si>
  <si>
    <t>198655</t>
  </si>
  <si>
    <t>РАСКРАСКА С КРОССВОРДАМИ. ИГРЫ НА СМЕКАЛКУ</t>
  </si>
  <si>
    <t>978-5-378-34151-1</t>
  </si>
  <si>
    <t xml:space="preserve">Кроссворды и раскраски в одной книге, возможно ли это? Легко! В новой серии «Раскраски с кроссвордами» всевозможные кроссворды объединены с раскрасками, что позволит не заскучать самым непоседливым ребятам. В серии 4 брошюры, в которых читателей ждут увлекательные сканворды, филворды, кейворды и красивые раскраски. Серия развлекательных брошюр «Раскраски с кроссвордами» станет для ребят отличным способом весело и активно провести свой досуг. </t>
  </si>
  <si>
    <t>9785378341511</t>
  </si>
  <si>
    <t>198х240х3</t>
  </si>
  <si>
    <t>СЕРИЯ: РАСКРАСКА С МАШИНКОЙ в пакете, мелов.обл. 197х275</t>
  </si>
  <si>
    <t>212024</t>
  </si>
  <si>
    <t>РАСКРАСКА С МАШИНКАМИ. ГОНОЧНЫЕ МАШИНЫ</t>
  </si>
  <si>
    <t>9785-378-34427-7</t>
  </si>
  <si>
    <t>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t>
  </si>
  <si>
    <t>9785378344277</t>
  </si>
  <si>
    <t>536de2d6005733edc4a5246f6ec1c026</t>
  </si>
  <si>
    <t>195х275х15</t>
  </si>
  <si>
    <t>199418</t>
  </si>
  <si>
    <t>РАСКРАСКА С МАШИНКАМИ. КРУТЫЕ ТАЧКИ</t>
  </si>
  <si>
    <t>978-5-378-34128-3</t>
  </si>
  <si>
    <t xml:space="preserve">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 </t>
  </si>
  <si>
    <t>9785378341283</t>
  </si>
  <si>
    <t>b1d5c0e3dbd037c06d0d4923ddccc652</t>
  </si>
  <si>
    <t>199419</t>
  </si>
  <si>
    <t>РАСКРАСКА С МАШИНКАМИ. МАШИНКИ И РОБОТЫ</t>
  </si>
  <si>
    <t>978-5-378-34129-0</t>
  </si>
  <si>
    <t>9785378341290</t>
  </si>
  <si>
    <t>2c19f9c3df9b7d44638cda61b3ff1f51</t>
  </si>
  <si>
    <t>212025</t>
  </si>
  <si>
    <t>РАСКРАСКА С МАШИНКАМИ. МЕГАТАЧКИ</t>
  </si>
  <si>
    <t>9785-378-34428-4</t>
  </si>
  <si>
    <t>9785378344284</t>
  </si>
  <si>
    <t>332a66f494f4db741c02698f2077e176</t>
  </si>
  <si>
    <t>199417</t>
  </si>
  <si>
    <t>РАСКРАСКА С МАШИНКАМИ. ПОЕХАЛИ!</t>
  </si>
  <si>
    <t>978-5-378-34127-6</t>
  </si>
  <si>
    <t>9785378341276</t>
  </si>
  <si>
    <t>07699c15209e1c07e8996658fb06debf</t>
  </si>
  <si>
    <t>212026</t>
  </si>
  <si>
    <t>РАСКРАСКА С МАШИНКАМИ. СПОРТИВНЫЕ МАШИНЫ</t>
  </si>
  <si>
    <t>9785-378-34429-1</t>
  </si>
  <si>
    <t>9785378344291</t>
  </si>
  <si>
    <t>0ebac0441ca15d39d90c7570bee5a6bd</t>
  </si>
  <si>
    <t>212027</t>
  </si>
  <si>
    <t>РАСКРАСКА С МАШИНКАМИ. СУПЕРКАРЫ</t>
  </si>
  <si>
    <t>9785-378-34430-7</t>
  </si>
  <si>
    <t>9785378344307</t>
  </si>
  <si>
    <t>b723f3c6aa1e6d730845ed06eb59f2b7</t>
  </si>
  <si>
    <t>199416</t>
  </si>
  <si>
    <t>РАСКРАСКА С МАШИНКАМИ. ТРАНСПОРТ</t>
  </si>
  <si>
    <t>978-5-378-34126-9</t>
  </si>
  <si>
    <t>9785378341269</t>
  </si>
  <si>
    <t>40ecb213795869112fa5c4a3fc2306a5</t>
  </si>
  <si>
    <t>СЕРИЯ: РАСКРАСКА С МЕЛКАМИ в пакете, картон.обл. глянц.ламин.165х230</t>
  </si>
  <si>
    <t>185091</t>
  </si>
  <si>
    <t>РАСКРАСКА С МЕЛКАМИ. ВОЛШЕБНЫЙ МИР</t>
  </si>
  <si>
    <t>978-5-378-33542-8</t>
  </si>
  <si>
    <t>Представляем новую серию раскрасок для малышей в комплекте с восковыми мелками. Наборы представлены в четырёх темах: «Машинки», «Монстрики», «Волшебный мир» и «Домашние животные», в каждом – 16-страничные книжки с крупными черно-белыми картинками – для удобства раскрашивания мелками.</t>
  </si>
  <si>
    <t>9785378335428</t>
  </si>
  <si>
    <t>26829218f7fad5c56fefa78ec7ee5fae</t>
  </si>
  <si>
    <t>165х230х12</t>
  </si>
  <si>
    <t>202737</t>
  </si>
  <si>
    <t>РАСКРАСКА С МЕЛКАМИ. ДИКИЕ ЖИВОТНЫЕ</t>
  </si>
  <si>
    <t>978-5-378-34241-9</t>
  </si>
  <si>
    <t>Серию раскрасок с восковыми мелками пополнили четыре новинки: «Для девочек», «Для мальчиков», «Дикие животные» и «Подводный мир». Каждая картинка – из крупных элементов и с толстым контуром: всё для удобства раскрашивания мелками!</t>
  </si>
  <si>
    <t>9785378342419</t>
  </si>
  <si>
    <t>202736</t>
  </si>
  <si>
    <t>РАСКРАСКА С МЕЛКАМИ. ДЛЯ ДЕВОЧЕК</t>
  </si>
  <si>
    <t>978-5-378-34240-2</t>
  </si>
  <si>
    <t>9785378342402</t>
  </si>
  <si>
    <t>202738</t>
  </si>
  <si>
    <t>РАСКРАСКА С МЕЛКАМИ. ДЛЯ МАЛЬЧИКОВ</t>
  </si>
  <si>
    <t>978-5-378-34242-6</t>
  </si>
  <si>
    <t>9785378342426</t>
  </si>
  <si>
    <t>185092</t>
  </si>
  <si>
    <t>РАСКРАСКА С МЕЛКАМИ. ДОМАШНИЕ ЖИВОТНЫЕ</t>
  </si>
  <si>
    <t>978-5-378-33543-5</t>
  </si>
  <si>
    <t>9785378335435</t>
  </si>
  <si>
    <t>185093</t>
  </si>
  <si>
    <t>РАСКРАСКА С МЕЛКАМИ. МАШИНКИ</t>
  </si>
  <si>
    <t>978-5-378-33544-2</t>
  </si>
  <si>
    <t>9785378335442</t>
  </si>
  <si>
    <t>185094</t>
  </si>
  <si>
    <t>РАСКРАСКА С МЕЛКАМИ. МОНСТРИКИ</t>
  </si>
  <si>
    <t>978-5-378-33545-9</t>
  </si>
  <si>
    <t>9785378335459</t>
  </si>
  <si>
    <t>202739</t>
  </si>
  <si>
    <t>РАСКРАСКА С МЕЛКАМИ. ПОДВОДНЫЙ МИР</t>
  </si>
  <si>
    <t>978-5-378-34243-3</t>
  </si>
  <si>
    <t>9785378342433</t>
  </si>
  <si>
    <t>СЕРИЯ: РАСКРАСКА С ПЛАКАТОМ  8 листов, обл.мел.картон, глян.ламин, 235х330 (офсет 100гр)</t>
  </si>
  <si>
    <t>223844</t>
  </si>
  <si>
    <t>РАСКРАСКА С ПЛАКАТОМ. ВЕЛИКАЯ АРМИЯ</t>
  </si>
  <si>
    <t>978-5-378-34675-2</t>
  </si>
  <si>
    <t>Воспитание патриотизма и мужества в подрастающем поколении — задача, стоящая перед родителями и педагогами. В процессе рисования в этой раскраске дети познакомятся с современной техникой и сценами из военных учений Российской армии.
Отличительной особенностью серии является наличие большого плаката в каждой раскраске. Он объединит за творческим процессом целую компанию юных художников, а потом станет украшением школьного класса во время тематического мероприятия.</t>
  </si>
  <si>
    <t>9785378346752</t>
  </si>
  <si>
    <t>0ad9339f7117aa3ab38c3f400d058620</t>
  </si>
  <si>
    <t>223843</t>
  </si>
  <si>
    <t>РАСКРАСКА С ПЛАКАТОМ. ДОБЛЕСТНАЯ АРМИЯ</t>
  </si>
  <si>
    <t>978-5-378-34676-9</t>
  </si>
  <si>
    <t>9785378346769</t>
  </si>
  <si>
    <t>a7cdbfe4d28899dda116d86f2fa97244</t>
  </si>
  <si>
    <t>223841</t>
  </si>
  <si>
    <t>РАСКРАСКА С ПЛАКАТОМ. НАША ГОРДОСТЬ</t>
  </si>
  <si>
    <t>978-5-378-34677-6</t>
  </si>
  <si>
    <t>9785378346776</t>
  </si>
  <si>
    <t>6f3efa1f441507f287f84ea3b888e7e8</t>
  </si>
  <si>
    <t>223840</t>
  </si>
  <si>
    <t>РАСКРАСКА С ПЛАКАТОМ. СОВРЕМЕННАЯ АРМИЯ</t>
  </si>
  <si>
    <t>978-5-378-34678-3</t>
  </si>
  <si>
    <t>9785378346783</t>
  </si>
  <si>
    <t>73204cd7b5b392ce00ea221ad0da224d</t>
  </si>
  <si>
    <t>СЕРИЯ: РАСКРАСКА С РОБОТОМ в пакете, картон.обл. 220х310</t>
  </si>
  <si>
    <t>238450</t>
  </si>
  <si>
    <t>РАСКРАСКА С РОБОТОМ. КРУТЫЕ РОБОТЫ</t>
  </si>
  <si>
    <t>978-5-378-35143-5</t>
  </si>
  <si>
    <t>Новая серия «Раскраска с роботом» создана специально для мальчишек! На страницах его ждут суперкрутые роботы! Крупные иллюстрации персонажей со множеством деталей точно понравятся юным художникам. А игрушка робот, которая прилагается к каждой раскраске, станет прекрасным дополнением, которое порадует ребенка!</t>
  </si>
  <si>
    <t>9785378351435</t>
  </si>
  <si>
    <t>90ac81a06bb838ce405de5ad8d2d1b48</t>
  </si>
  <si>
    <t>240х310х30</t>
  </si>
  <si>
    <t>238448</t>
  </si>
  <si>
    <t>РАСКРАСКА С РОБОТОМ. МИР РОБОТОВ</t>
  </si>
  <si>
    <t>978-5-378-35145-9</t>
  </si>
  <si>
    <t>9785378351459</t>
  </si>
  <si>
    <t>00963442af9426ef436c9a30bd9e1f3d</t>
  </si>
  <si>
    <t>238451</t>
  </si>
  <si>
    <t>РАСКРАСКА С РОБОТОМ. СУПЕР РОБОТЫ</t>
  </si>
  <si>
    <t>978-5-378-35144-2</t>
  </si>
  <si>
    <t>9785378351442</t>
  </si>
  <si>
    <t>8c636e3873937c8e788d3de4bc453c12</t>
  </si>
  <si>
    <t>238449</t>
  </si>
  <si>
    <t>РАСКРАСКА С РОБОТОМ. УДИВИТЕЛЬНЫЕ РОБОТЫ</t>
  </si>
  <si>
    <t>978-5-378-35142-8</t>
  </si>
  <si>
    <t>9785378351428</t>
  </si>
  <si>
    <t>e304c6cf889309b6719fd76e895e08c5</t>
  </si>
  <si>
    <t>СЕРИЯ: РАСКРАСКА С СОЛНЕЧНЫМИ ОЧКАМИ в пакете, картон.обл. 195х276</t>
  </si>
  <si>
    <t>233255</t>
  </si>
  <si>
    <t>РАСКРАСКА С СОЛНЕЧНЫМИ ОЧКАМИ. БУДЬ В ТРЕНДЕ</t>
  </si>
  <si>
    <t>978-5-378-34905-0</t>
  </si>
  <si>
    <t>Новая серия «Раскраска с солнечными очками» создана специально для юных модниц! На страницах их ждут стильные образы, необычные наряды и аксессуары! Крупные иллюстрации персонажей со множеством деталей точно понравятся маленьким художникам и будущим дизайнерам. А цветные солнечные очки, которые прилагаются к каждой раскраске, станут прекрасным аксессуаром, который дополнит любой образ и порадует ребёнка!</t>
  </si>
  <si>
    <t>9785378349050</t>
  </si>
  <si>
    <t>210x283x30</t>
  </si>
  <si>
    <t>233254</t>
  </si>
  <si>
    <t>РАСКРАСКА С СОЛНЕЧНЫМИ ОЧКАМИ. НА СТИЛЕ</t>
  </si>
  <si>
    <t>978-5-378-34904-3</t>
  </si>
  <si>
    <t>9785378349043</t>
  </si>
  <si>
    <t>233256</t>
  </si>
  <si>
    <t>РАСКРАСКА С СОЛНЕЧНЫМИ ОЧКАМИ. СОЗДАЙ СВОЙ СТИЛЬ</t>
  </si>
  <si>
    <t>978-5-378-34906-7</t>
  </si>
  <si>
    <t>9785378349067</t>
  </si>
  <si>
    <t>233253</t>
  </si>
  <si>
    <t>РАСКРАСКА С СОЛНЕЧНЫМИ ОЧКАМИ. СУПЕРМОДНИЦЫ</t>
  </si>
  <si>
    <t>978-5-378-34907-4</t>
  </si>
  <si>
    <t>9785378349074</t>
  </si>
  <si>
    <t>СЕРИЯ: РАСКРАСКА С УКРАШЕНИЯМИ в пакете, картон.обл. 220х310</t>
  </si>
  <si>
    <t>230338</t>
  </si>
  <si>
    <t>РАСКРАСКА С УКРАШЕНИЯМИ. АНИМЕШНЫЕ МАЛЫШКИ</t>
  </si>
  <si>
    <t>978-5-378-34838-1</t>
  </si>
  <si>
    <t>Раскраска для девочек — один из лучших подарков маленькой художнице. В этой серии собраны самые классные темы: анимешные малышки, стильные девчонки, супермодницы. Раскраска для девочек содержит разнообразные иллюстрации. К каждой раскраске приложены украшения для стильных девчонок, которые порадуют каждую юную модницу.</t>
  </si>
  <si>
    <t>9785378348381</t>
  </si>
  <si>
    <t>250x315x10</t>
  </si>
  <si>
    <t>230335</t>
  </si>
  <si>
    <t>РАСКРАСКА С УКРАШЕНИЯМИ. МОДНЫЕ ПРИНЦЕССЫ</t>
  </si>
  <si>
    <t>978-5-378-34837-4</t>
  </si>
  <si>
    <t>9785378348374</t>
  </si>
  <si>
    <t>230336</t>
  </si>
  <si>
    <t>РАСКРАСКА С УКРАШЕНИЯМИ. СТИЛЬНЫЕ ДЕВЧОНКИ</t>
  </si>
  <si>
    <t>978-5-378-34836-7</t>
  </si>
  <si>
    <t>9785378348367</t>
  </si>
  <si>
    <t>230337</t>
  </si>
  <si>
    <t>РАСКРАСКА С УКРАШЕНИЯМИ. СУПЕРМОДНИЦЫ</t>
  </si>
  <si>
    <t>978-5-378-34839-8</t>
  </si>
  <si>
    <t>9785378348398</t>
  </si>
  <si>
    <t>СЕРИЯ: РАСКРАСКА С ЦВЕТНЫМ ФОНОМ мелов.обл 195х276</t>
  </si>
  <si>
    <t>227857</t>
  </si>
  <si>
    <t>РАСКРАСКА С ЦВЕТНЫМ ФОНОМ. ВДОХНОВЛЯЮЩАЯ МАНГА</t>
  </si>
  <si>
    <t>978-5-378-34759-9</t>
  </si>
  <si>
    <t>Серия раскрасок с цветным фоном в популярном стиле Аниме заинтересует девочек всех возрастов. Юные художницы раскроют свой творческий потенциал, научатся подбирать цветовую гамму и сочетать оттенки. С такой раскраской рисунки получатся яркими и красочными!</t>
  </si>
  <si>
    <t>9785378347599</t>
  </si>
  <si>
    <t>09cc0bcfb4efa3a09e7f6dffa04850a9</t>
  </si>
  <si>
    <t>227854</t>
  </si>
  <si>
    <t>РАСКРАСКА С ЦВЕТНЫМ ФОНОМ. ТОКИЙСКИЙ СТИЛЬ</t>
  </si>
  <si>
    <t>978-5-378-34757-5</t>
  </si>
  <si>
    <t>9785378347575</t>
  </si>
  <si>
    <t>aacf05b8d751eb25d7bb1363aa3b8e1e</t>
  </si>
  <si>
    <t>227860</t>
  </si>
  <si>
    <t>РАСКРАСКА С ЦВЕТНЫМ ФОНОМ. ФАНТАЗИЙНОЕ АНИМЕ</t>
  </si>
  <si>
    <t>978-5-378-34760-5</t>
  </si>
  <si>
    <t>9785378347605</t>
  </si>
  <si>
    <t>b199c16c3259be1c8cb37731297f0aa6</t>
  </si>
  <si>
    <t>227855</t>
  </si>
  <si>
    <t>РАСКРАСКА С ЦВЕТНЫМ ФОНОМ. ЭСТЕТИКА ВОСТОКА</t>
  </si>
  <si>
    <t>978-5-378-34758-2</t>
  </si>
  <si>
    <t>9785378347582</t>
  </si>
  <si>
    <t>af1cee42ffacb7168c31b220d50d3a3d</t>
  </si>
  <si>
    <t>СЕРИЯ: РАСКРАСКА ТОЛЬКО ДЛЯ МАЛЬЧИКОВ глянц.ламин. 195х275</t>
  </si>
  <si>
    <t>150767</t>
  </si>
  <si>
    <t>РАСКРАСКА ТОЛЬКО ДЛЯ МАЛЬЧИКОВ. БОЛЬШИЕ МАШИНЫ</t>
  </si>
  <si>
    <t>978-5-378-30996-2</t>
  </si>
  <si>
    <t>На страницах новых раскрасок мальчишек ждут удивительные роботы, забавные динозавры и монстрики, а также космические приключения! Раскрашивать точно будет нескучно!</t>
  </si>
  <si>
    <t>9785378309962</t>
  </si>
  <si>
    <t>135799</t>
  </si>
  <si>
    <t>РАСКРАСКА ТОЛЬКО ДЛЯ МАЛЬЧИКОВ. В КОСМОСЕ</t>
  </si>
  <si>
    <t>978-5-378-30399-1</t>
  </si>
  <si>
    <t>9785378303991</t>
  </si>
  <si>
    <t>150769</t>
  </si>
  <si>
    <t>РАСКРАСКА ТОЛЬКО ДЛЯ МАЛЬЧИКОВ. ВОЕННАЯ ТЕХНИКА</t>
  </si>
  <si>
    <t>978-5-378-30998-6</t>
  </si>
  <si>
    <t>9785378309986</t>
  </si>
  <si>
    <t>150766</t>
  </si>
  <si>
    <t>РАСКРАСКА ТОЛЬКО ДЛЯ МАЛЬЧИКОВ. ГОНКИ</t>
  </si>
  <si>
    <t>978-5-378-30995-5</t>
  </si>
  <si>
    <t>9785378309955</t>
  </si>
  <si>
    <t>135802</t>
  </si>
  <si>
    <t>РАСКРАСКА ТОЛЬКО ДЛЯ МАЛЬЧИКОВ. ДИНОЗАВРИКИ</t>
  </si>
  <si>
    <t>978-5-378-30397-7</t>
  </si>
  <si>
    <t>9785378303977</t>
  </si>
  <si>
    <t>150768</t>
  </si>
  <si>
    <t>РАСКРАСКА ТОЛЬКО ДЛЯ МАЛЬЧИКОВ. МИР ПРИКЛЮЧЕНИЙ</t>
  </si>
  <si>
    <t>978-5-378-30997-9</t>
  </si>
  <si>
    <t>9785378309979</t>
  </si>
  <si>
    <t>135800</t>
  </si>
  <si>
    <t>РАСКРАСКА ТОЛЬКО ДЛЯ МАЛЬЧИКОВ. МОНСТРИКИ</t>
  </si>
  <si>
    <t>978-5-378-30398-4</t>
  </si>
  <si>
    <t>9785378303984</t>
  </si>
  <si>
    <t>135804</t>
  </si>
  <si>
    <t>РАСКРАСКА ТОЛЬКО ДЛЯ МАЛЬЧИКОВ. РОБОТЫ</t>
  </si>
  <si>
    <t>978-5-378-30396-0</t>
  </si>
  <si>
    <t>9785378303960</t>
  </si>
  <si>
    <t>СЕРИЯ: РАСКРАСКА-СТИКЕРБУК на гребне 142х202</t>
  </si>
  <si>
    <t>260215</t>
  </si>
  <si>
    <t>РАСКРАСКА-СТИКЕРБУК. КАПИБАРА И ДРУЗЬЯ</t>
  </si>
  <si>
    <t>978-5-378-35713-0</t>
  </si>
  <si>
    <t>Не просто наклейки... Не просто раскраска... Новая раскраска-стикербук! Сначала раскрась, потом наклей! Целых 12 листов творчества и удовольствия!</t>
  </si>
  <si>
    <t>9785378357130</t>
  </si>
  <si>
    <t>ab64e538661a165e9d39def10f5057d9</t>
  </si>
  <si>
    <t>150х203х7</t>
  </si>
  <si>
    <t>260209</t>
  </si>
  <si>
    <t>РАСКРАСКА-СТИКЕРБУК. КОШЕЧКИ</t>
  </si>
  <si>
    <t>978-5-378-35710-9</t>
  </si>
  <si>
    <t>9785378357109</t>
  </si>
  <si>
    <t>656afc181e1444bf6bf5a120c8dd7876</t>
  </si>
  <si>
    <t>270086</t>
  </si>
  <si>
    <t>РАСКРАСКА-СТИКЕРБУК. ТУРБОЗАВРЫ</t>
  </si>
  <si>
    <t>978-5-378-35961-5</t>
  </si>
  <si>
    <t>9785378359615</t>
  </si>
  <si>
    <t>150х202х7</t>
  </si>
  <si>
    <t>270087</t>
  </si>
  <si>
    <t>РАСКРАСКА-СТИКЕРБУК. ЦВЕТНЯШКИ</t>
  </si>
  <si>
    <t>978-5-378-35962-2</t>
  </si>
  <si>
    <t>9785378359622</t>
  </si>
  <si>
    <t>СЕРИЯ: РАСКРАСКА-СТИКЕРБУК на гребне 160х220</t>
  </si>
  <si>
    <t>253341</t>
  </si>
  <si>
    <t>РАСКРАСКА СТИКЕРБУК на гребне. ДЛЯ ДЕВОЧЕК</t>
  </si>
  <si>
    <t>978-5-378-35590-7</t>
  </si>
  <si>
    <t>Стикербук с раскрасками включает в себя разнообразные наклейки, что делает его отличным выбором для занятия рукоделием и развития креативности.
Набор позволит ребенку провести время с удовольствием, развивая воображение и фантазию. Подарите своему ребенку возможность окунуться в мир творчества с этим чудесным блокнотом!
В наборе более 150 наклеек на разнообразные тематики, которые можно раскрасить и наклеить на телефон, планшет или блокнот.</t>
  </si>
  <si>
    <t>9785378355907</t>
  </si>
  <si>
    <t>fa0e7d5a716ee86926b8836db997fd72</t>
  </si>
  <si>
    <t>165х200х10</t>
  </si>
  <si>
    <t>253342</t>
  </si>
  <si>
    <t>РАСКРАСКА СТИКЕРБУК на гребне. ДЛЯ МАЛЬЧИКОВ</t>
  </si>
  <si>
    <t>978-5-378-35591-4</t>
  </si>
  <si>
    <t>9785378355914</t>
  </si>
  <si>
    <t>591d8aa3d4bf784e4660d20140b0dbdc</t>
  </si>
  <si>
    <t>253339</t>
  </si>
  <si>
    <t>РАСКРАСКА СТИКЕРБУК на гребне. КАПИБАРЫ И ИХ ДРУЗЬЯ</t>
  </si>
  <si>
    <t>978-5-378-35592-1</t>
  </si>
  <si>
    <t>9785378355921</t>
  </si>
  <si>
    <t>8823470fc5dbd37bcc130100ef4ae369</t>
  </si>
  <si>
    <t>253337</t>
  </si>
  <si>
    <t>РАСКРАСКА СТИКЕРБУК на гребне. КОТИКИ И ВСЕ ВСЕ ВСЕ</t>
  </si>
  <si>
    <t>978-5-378-35593-8</t>
  </si>
  <si>
    <t>9785378355938</t>
  </si>
  <si>
    <t>d2ae8bc3ab3e97348c8d18291001e760</t>
  </si>
  <si>
    <t>СЕРИЯ: РАСКРАСКИ А4  карт.обл., мягкий перепл.195х276</t>
  </si>
  <si>
    <t>016196</t>
  </si>
  <si>
    <t>РАСКРАСКА А4. ДЛЯ МАЛЫШЕЙ (КУРИЦА)</t>
  </si>
  <si>
    <t>978-5-378-02143-7</t>
  </si>
  <si>
    <t>Дайте ребёнку раскраску,цветные карандаши или фломастеры, и он с удовольствием и пользой проведёт время, проявит фантазию и получит массу новых впечатлений!</t>
  </si>
  <si>
    <t>9785378021437</t>
  </si>
  <si>
    <t>Корнеева Ольга Тихоновна</t>
  </si>
  <si>
    <t>07.04.2017 0:00:00</t>
  </si>
  <si>
    <t>Мягкий Переплёт</t>
  </si>
  <si>
    <t>Раскраски А4</t>
  </si>
  <si>
    <t>СЕРИЯ: РИСУЕМ ПАЛЬЧИКАМИ А4 карт.обл. глянц.ламин. 195х276</t>
  </si>
  <si>
    <t>249496</t>
  </si>
  <si>
    <t>РИСУЕМ ПАЛЬЧИКАМИ А4. ДОМАШНИЕ ЖИВОТНЫЕ</t>
  </si>
  <si>
    <t>978-5-378-35501-3</t>
  </si>
  <si>
    <t>В новой серии раскрасок представлены картинки с цветным контуром, закончить которые ребенок сможет собственными пальчиками. Оживлять героев цветом таким способом полезно для развития мелкой моторики и координации движений.</t>
  </si>
  <si>
    <t>9785378355013</t>
  </si>
  <si>
    <t>360241b7c9b98c0e6cefedcc76b2e3ee</t>
  </si>
  <si>
    <t>249497</t>
  </si>
  <si>
    <t>РИСУЕМ ПАЛЬЧИКАМИ А4. ЛЕСНЫЕ ЗВЕРЯТА</t>
  </si>
  <si>
    <t>978-5-378-35502-0</t>
  </si>
  <si>
    <t>9785378355020</t>
  </si>
  <si>
    <t>5d1ab11362fc36e2f9266cb59bac8ba2</t>
  </si>
  <si>
    <t>249499</t>
  </si>
  <si>
    <t>РИСУЕМ ПАЛЬЧИКАМИ А4. МАШИНКИ</t>
  </si>
  <si>
    <t>978-5-378-35504-4</t>
  </si>
  <si>
    <t>9785378355044</t>
  </si>
  <si>
    <t>9e01a3aa5b800894169a403e1abdcba8</t>
  </si>
  <si>
    <t>249498</t>
  </si>
  <si>
    <t>РИСУЕМ ПАЛЬЧИКАМИ А4. МИЛЫЕ ПУШИСТИКИ</t>
  </si>
  <si>
    <t>978-5-378-35503-7</t>
  </si>
  <si>
    <t>9785378355037</t>
  </si>
  <si>
    <t>5875d24c49b5785080989ecb6ae8918b</t>
  </si>
  <si>
    <t>251788</t>
  </si>
  <si>
    <t>СИНИЙ ТРАКТОР. Раскраска РИСУЕМ ПАЛЬЧИКАМИ. Весёлые истории</t>
  </si>
  <si>
    <t>978-5-378-35564-8</t>
  </si>
  <si>
    <t>9785378355648</t>
  </si>
  <si>
    <t>107a53c16bd32c06bc5c54ed1ef0ad94</t>
  </si>
  <si>
    <t>251794</t>
  </si>
  <si>
    <t>СИНИЙ ТРАКТОР. Раскраска РИСУЕМ ПАЛЬЧИКАМИ. Домашние животные</t>
  </si>
  <si>
    <t>978-5-378-35566-2</t>
  </si>
  <si>
    <t>9785378355662</t>
  </si>
  <si>
    <t>5de037602e541e7f6be99b6a9eb7cabd</t>
  </si>
  <si>
    <t>251791</t>
  </si>
  <si>
    <t>СИНИЙ ТРАКТОР. Раскраска РИСУЕМ ПАЛЬЧИКАМИ. Любимые герои</t>
  </si>
  <si>
    <t>978-5-378-35565-5</t>
  </si>
  <si>
    <t>9785378355655</t>
  </si>
  <si>
    <t>537129d7889d20d9aa1792ef670deeff</t>
  </si>
  <si>
    <t>251796</t>
  </si>
  <si>
    <t>СИНИЙ ТРАКТОР. Раскраска РИСУЕМ ПАЛЬЧИКАМИ. Полезные машины</t>
  </si>
  <si>
    <t>978-5-378-35567-9</t>
  </si>
  <si>
    <t>9785378355679</t>
  </si>
  <si>
    <t>423347b1972d6a9c2165afde53d5db3b</t>
  </si>
  <si>
    <t>СЕРИЯ: СОЕДИНИ ПО ТОЧКАМ картон.обл, глянц.ламин. 242х300</t>
  </si>
  <si>
    <t>243729</t>
  </si>
  <si>
    <t>СОЕДИНИ ПО ТОЧКАМ на скрепке. ГОРОДА МИРА</t>
  </si>
  <si>
    <t>978-5-378-35322-4</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</si>
  <si>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достопримечательности со всего света, но и отдохнуть за приятным времяпрепровождением. Перемещаясь от точки к точке, вы обнаружите, как на листе появляются изображения знаменитых зданий и скульптур, а в вас пробуждаются силы для новых свершений!</t>
  </si>
  <si>
    <t>9785378353224</t>
  </si>
  <si>
    <t>4ca6e5809e7fcbcc911ff76106833023</t>
  </si>
  <si>
    <t>242х300х3</t>
  </si>
  <si>
    <t>243730</t>
  </si>
  <si>
    <t>СОЕДИНИ ПО ТОЧКАМ на скрепке. ДИНОЗАВРЫ</t>
  </si>
  <si>
    <t>978-5-378-35323-1</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</si>
  <si>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стегозавра и трицератопса, но и отдохнуть за приятным времяпрепровождением. Перемещаясь
от точки к точке, вы обнаружите, как на листе появляются изображения динозавров, а в вас пробуждаются силы для новых свершений!</t>
  </si>
  <si>
    <t>9785378353231</t>
  </si>
  <si>
    <t>0697d1f82340d97203831e0cd141ad36</t>
  </si>
  <si>
    <t>222366</t>
  </si>
  <si>
    <t>СОЕДИНИ ПО ТОЧКАМ на скрепке. ЖИВОТНЫЕ</t>
  </si>
  <si>
    <t>978-5-378-34622-6</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</si>
  <si>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лису, волка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</si>
  <si>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9785378346226</t>
  </si>
  <si>
    <t>222364</t>
  </si>
  <si>
    <t>СОЕДИНИ ПО ТОЧКАМ на скрепке. МИР ЖИВОТНЫХ</t>
  </si>
  <si>
    <t>978-5-378-34623-3</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</si>
  <si>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коалу, лемура, игуану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</si>
  <si>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9785378346233</t>
  </si>
  <si>
    <t>243731</t>
  </si>
  <si>
    <t>СОЕДИНИ ПО ТОЧКАМ на скрепке. НАСЕКОМЫЕ</t>
  </si>
  <si>
    <t>978-5-378-35324-8</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</si>
  <si>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бабочку и гусеницу, но и отдохнуть за приятным времяпрепровождением. Перемещаясь от точки к точке, вы обнаружите, как на листе появляются изображения удивительных насекомых, а в вас пробуждаются силы для новых свершений!</t>
  </si>
  <si>
    <t>9785378353248</t>
  </si>
  <si>
    <t>9767c3b72ffd22898ee9d82031060ce4</t>
  </si>
  <si>
    <t>243732</t>
  </si>
  <si>
    <t>СОЕДИНИ ПО ТОЧКАМ на скрепке. ЦВЕТЫ</t>
  </si>
  <si>
    <t>978-5-378-35325-5</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</si>
  <si>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розу, кувшинку и другие цветы, но и отдохнуть за приятным времяпрепровождением. Перемещаясь от точки к точке, вы обнаружите, как на листе появляются изображения цветов, а в вас пробуждаются силы для новых свершений!</t>
  </si>
  <si>
    <t>9785378353255</t>
  </si>
  <si>
    <t>b78314d5a643269e951ed073dbae515a</t>
  </si>
  <si>
    <t>222368</t>
  </si>
  <si>
    <t>СОЕДИНИ ПО ТОЧКАМ на скрепке. ЧУДЕСА СВЕТА</t>
  </si>
  <si>
    <t>978-5-378-34625-7</t>
  </si>
  <si>
    <t>9785378346257</t>
  </si>
  <si>
    <t>222361</t>
  </si>
  <si>
    <t>СОЕДИНИ ПО ТОЧКАМ на скрепке. ШЕДЕВРЫ ИСКУССТВА</t>
  </si>
  <si>
    <t>978-5-378-34624-0</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</si>
  <si>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шедевры мирового искусства, но и отдохнуть за приятным времяпрепровождением. Перемещаясь
от точки к точке, вы обнаружите, как на листе появляются изображения картин и скульптур, а в вас пробуждаются силы для новых свершений!</t>
  </si>
  <si>
    <t>9785378346240</t>
  </si>
  <si>
    <t>СЕРИЯ: УЮТНАЯ РАСКРАСКА глянц.ламин. 213х213</t>
  </si>
  <si>
    <t>261446</t>
  </si>
  <si>
    <t>УЮТНАЯ РАСКРАСКА. МИР ДЕВЧОНОК</t>
  </si>
  <si>
    <t>978-5-378-35768-0</t>
  </si>
  <si>
    <t>Раскраски нашей новой серии — для тех, кто ценит уют и гармонию в деталях.</t>
  </si>
  <si>
    <t>9785378357680</t>
  </si>
  <si>
    <t>f78d6c247538c57e6dbd163a85a5c374</t>
  </si>
  <si>
    <t>СЕРИЯ: Я УЧУСЬ! РАЗВИВАЮЩАЯ РАСКРАСКА 205х280</t>
  </si>
  <si>
    <t>047734</t>
  </si>
  <si>
    <t>Я УЧУСЬ! РАЗВИВАЮЩАЯ РАСКРАСКА 35 (Новогодка) Снегурочка</t>
  </si>
  <si>
    <t>978-5-378-26505-3</t>
  </si>
  <si>
    <t>Пришло время познакомить ребенка с "Развивающей раскраской"- увлекательной серией, в которой собраны самые интересные задания и самые забавные картинки! В этой книге есть всё, что нужно для всестороннего развития вашего малыша: весёлые лабиринты, занимательные игры и творческие раскраски-рисовалки. Познавательные задания способствуют развитию воображения, логики, внимания и мелкой моторики рук ребёнка. Желаем успешного обучения вместе с "Развивающей раскраской"!</t>
  </si>
  <si>
    <t>9785378265053</t>
  </si>
  <si>
    <t>09.06.2016 0:00:00</t>
  </si>
  <si>
    <t>"Я учусь"</t>
  </si>
  <si>
    <t>205х280х2</t>
  </si>
  <si>
    <t>047735</t>
  </si>
  <si>
    <t>Я УЧУСЬ! РАЗВИВАЮЩАЯ РАСКРАСКА 36 (Новогодка) Белочка</t>
  </si>
  <si>
    <t>978-5-378-26506-0</t>
  </si>
  <si>
    <t>9785378265060</t>
  </si>
  <si>
    <t>7. КНИЖКИ НА ПЕНЕ</t>
  </si>
  <si>
    <t>СЕРИЯ: КНИЖКА-МАЛЫШКА С ПАЗЛАМИ НА ПЕНЕ 105х105</t>
  </si>
  <si>
    <t>263064</t>
  </si>
  <si>
    <t>КНИЖКА-МАЛЫШКА С ПАЗЛАМИ НА ПЕНЕ. Веселый транспорт (Синий трактор)</t>
  </si>
  <si>
    <t>978-5-378-35811-3</t>
  </si>
  <si>
    <t>Новые книжки для самых маленьких выполнены из мягкого приятного на ощупь материала пена-EVA. Они очень лёгкие, имеют удобный формат и скруглённые углы. На разноцветных страничках из пены-EVA малыши найдут яркие иллюстрации с животными и героями любимого мультфильма «Синий Трактор». На каждом развороте есть мягкий вынимающийся пазл. С помощью этих пазлов можно играть или отвечать на вопросы, закрепляя новые знания об окружающем мире.</t>
  </si>
  <si>
    <t>9785378358113</t>
  </si>
  <si>
    <t>105х108х33</t>
  </si>
  <si>
    <t>263065</t>
  </si>
  <si>
    <t>КНИЖКА-МАЛЫШКА С ПАЗЛАМИ НА ПЕНЕ. Домашние животные</t>
  </si>
  <si>
    <t>978-5-378-35809-0</t>
  </si>
  <si>
    <t>9785378358090</t>
  </si>
  <si>
    <t>Брагинец Наталья Владимировна, Гурина Ирина Валерьевна</t>
  </si>
  <si>
    <t>263067</t>
  </si>
  <si>
    <t>КНИЖКА-МАЛЫШКА С ПАЗЛАМИ НА ПЕНЕ. Мамы и малыши</t>
  </si>
  <si>
    <t>978-5-378-35810-6</t>
  </si>
  <si>
    <t>9785378358106</t>
  </si>
  <si>
    <t>105х106х33</t>
  </si>
  <si>
    <t>263068</t>
  </si>
  <si>
    <t>КНИЖКА-МАЛЫШКА С ПАЗЛАМИ НА ПЕНЕ. Чей это домик?</t>
  </si>
  <si>
    <t>978-5-378-35808-3</t>
  </si>
  <si>
    <t>9785378358083</t>
  </si>
  <si>
    <t>СЕРИЯ: КНИЖКИ НА ПЕНЕ 105х105</t>
  </si>
  <si>
    <t>093646</t>
  </si>
  <si>
    <t>КНИЖКИ НА ПЕНЕ. ДИКИЕ ЖИВОТНЫЕ</t>
  </si>
  <si>
    <t>978-5-378-28832-8</t>
  </si>
  <si>
    <t>Что важно для малышей в раннем возрасте? Конечно же, безопасность. Новые книжки для самых маленьких как раз отвечают этому требованию. Ведь они выполнены из экологически чистого мягкого материала пена-EVA. Книжки имеют удобный формат и очень лёгкие - то, что надо для маленьких ручек. Яркие крупные картинки познакомят малыша с окружающим миром.</t>
  </si>
  <si>
    <t>9785378288328</t>
  </si>
  <si>
    <t>14dd8e3df5d3f1eec19d3bd0365be904</t>
  </si>
  <si>
    <t>1+</t>
  </si>
  <si>
    <t>Книжки на пене 105х105</t>
  </si>
  <si>
    <t>105х105х30</t>
  </si>
  <si>
    <t>093647</t>
  </si>
  <si>
    <t>КНИЖКИ НА ПЕНЕ. ДОМАШНИЕ ЖИВОТНЫЕ</t>
  </si>
  <si>
    <t>978-5-378-28831-1</t>
  </si>
  <si>
    <t>9785378288311</t>
  </si>
  <si>
    <t>a94b3b9435b8ff661dd6693d356477f5</t>
  </si>
  <si>
    <t>147092</t>
  </si>
  <si>
    <t>КНИЖКИ НА ПЕНЕ. КОЛОБОК</t>
  </si>
  <si>
    <t>978-5-378-30927-6</t>
  </si>
  <si>
    <t>Эти яркие мини-книжечки предназначены для самых маленьких деток. Они отлично подойдут для первого знакомства малышей со сказками. Книги имеют небольшой формат, комфортный для детской ручки. А их странички изготовлены из экологически чистого материала, очень приятного на ощупь.</t>
  </si>
  <si>
    <t>9785378309276</t>
  </si>
  <si>
    <t>aebc5cd7b0b4f458df0d2d03f1acd9c8</t>
  </si>
  <si>
    <t>147089</t>
  </si>
  <si>
    <t>КНИЖКИ НА ПЕНЕ. КУРОЧКА РЯБА</t>
  </si>
  <si>
    <t>978-5-378-30925-2</t>
  </si>
  <si>
    <t>9785378309252</t>
  </si>
  <si>
    <t>24d5ef8706c3ed76e609ed4d5a4d90b5</t>
  </si>
  <si>
    <t>126705</t>
  </si>
  <si>
    <t>КНИЖКИ НА ПЕНЕ. СИНИЙ ТРАКТОР. КТО СКАЗАЛ ХРЮ-ХРЮ?</t>
  </si>
  <si>
    <t>978-5-378-30007-5</t>
  </si>
  <si>
    <t>Яркие маленькие книжки с персонажами любимого мультфильма порадуют малышей! С ними ребёнок узнает, как говорят зверюшки, а ещё-какие бывают овощи и чем они полезны!</t>
  </si>
  <si>
    <t>9785378300075</t>
  </si>
  <si>
    <t>0a1f89efd0ed02d44d1d612f7e9cf39d</t>
  </si>
  <si>
    <t>135777</t>
  </si>
  <si>
    <t>КНИЖКИ НА ПЕНЕ. СИНИЙ ТРАКТОР. ЛЕВО-ПРАВО</t>
  </si>
  <si>
    <t>978-5-378-30479-0</t>
  </si>
  <si>
    <t>Яркие маленькие книжки с персонажами любимого мультфильма обязательно порадуют малышей! С ними ребёнок узнает стороны право-лево, а ещё-какие бывают фрукты и чем они полезны!</t>
  </si>
  <si>
    <t>9785378304790</t>
  </si>
  <si>
    <t>79047ca5c04d891fe276bf627144dbd9</t>
  </si>
  <si>
    <t>126704</t>
  </si>
  <si>
    <t>КНИЖКИ НА ПЕНЕ. СИНИЙ ТРАКТОР. ОВОЩИ</t>
  </si>
  <si>
    <t>978-5-378-30008-2</t>
  </si>
  <si>
    <t>9785378300082</t>
  </si>
  <si>
    <t>30922aebf234f6a6d04fcf9220b17065</t>
  </si>
  <si>
    <t>135776</t>
  </si>
  <si>
    <t>КНИЖКИ НА ПЕНЕ. СИНИЙ ТРАКТОР. ФРУКТЫ</t>
  </si>
  <si>
    <t>978-5-378-30478-3</t>
  </si>
  <si>
    <t>9785378304783</t>
  </si>
  <si>
    <t>2c8ff1200a4da0f522892f8d00493bed</t>
  </si>
  <si>
    <t>093649</t>
  </si>
  <si>
    <t>КНИЖКИ НА ПЕНЕ. ТРАНСПОРТ</t>
  </si>
  <si>
    <t>978-5-378-28833-5</t>
  </si>
  <si>
    <t>9785378288335</t>
  </si>
  <si>
    <t>43b288a03ced46b674547099aa48ee02</t>
  </si>
  <si>
    <t>147093</t>
  </si>
  <si>
    <t>КНИЖКИ НА ПЕНЕ. ТРИ ПОРОСЁНКА</t>
  </si>
  <si>
    <t>978-5-378-30928-3</t>
  </si>
  <si>
    <t>9785378309283</t>
  </si>
  <si>
    <t>c498505c809eb3cef973c961469731e5</t>
  </si>
  <si>
    <t>8. КНИЖКИ-ИГРУШКИ (РОССИЯ)</t>
  </si>
  <si>
    <t>CЕРИЯ: ПОДАРОЧНЫЙ НАБОР в коробке 320х230х60</t>
  </si>
  <si>
    <t>238477</t>
  </si>
  <si>
    <t>ПОДАРОЧНЫЙ НАБОР. БОЛЬШОЙ ПОДАРОК ДЛЯ МАЛЬЧИКОВ</t>
  </si>
  <si>
    <t>467-0-159-20632-3</t>
  </si>
  <si>
    <t>Большой подарок для мальчиков (девочек) – это 10 увлекательных книг, раскрасок и брошюр.
В набор входят:
• Книга для чтения
• Книга с часиками и глазками
• Раскраска с фломастерами
• Учимся рисовать «Шаг за шагом»
• Книжка с заданиями
• Набор наклеек
• Раскраска
• Прописи для малышей
• Умный блокнот
• Раскраска альбомная</t>
  </si>
  <si>
    <t>4670159206323</t>
  </si>
  <si>
    <t>753d80b1f56377810e50cdfa21fc30a1</t>
  </si>
  <si>
    <t>коробка, 7БЦ</t>
  </si>
  <si>
    <t>Решение не принято</t>
  </si>
  <si>
    <t>320x230x60</t>
  </si>
  <si>
    <t>239104</t>
  </si>
  <si>
    <t>ПОДАРОЧНЫЙ НАБОР. Я ЛЮБЛЮ АНИМЕ</t>
  </si>
  <si>
    <t>467-0-159-21840-1</t>
  </si>
  <si>
    <t>В набор входят:
• Анкета для друзей
• Блокнот
• Раскраски
• Пропись
• Наклейки
• Активити-блокнот
• Скетчбук</t>
  </si>
  <si>
    <t>4670159218401</t>
  </si>
  <si>
    <t>fd1876ac5c14bf338ad385496827ec50</t>
  </si>
  <si>
    <t>90. ПРОДУКЦИЯ НА БУМАГЕ</t>
  </si>
  <si>
    <t>(0+) СОВРЕМЕННЫЕ ПИСАТЕЛИ</t>
  </si>
  <si>
    <t>270082</t>
  </si>
  <si>
    <t>SOS! ПРОПАЛ ПЁС!, мат.ламин, выб.лак, 203х257</t>
  </si>
  <si>
    <t>978-5-378-35966-0</t>
  </si>
  <si>
    <t>Домашний любимец решил доказать своим хозяевам, что он не простая дворняга, а невероятно одарённый пёс. Поэтому и сбежал - чтобы принять участие и обязательно победить в собачьем конкурсе талантов!</t>
  </si>
  <si>
    <t>9785378359660</t>
  </si>
  <si>
    <t>Литоренко Алла Алексеевна</t>
  </si>
  <si>
    <t>9a710a76655cb55618d74efd3b39a65e</t>
  </si>
  <si>
    <t>203х259х6</t>
  </si>
  <si>
    <t>248093</t>
  </si>
  <si>
    <t>В ПОИСКАХ ДОМА. ПРИКЛЮЧЕНИЯ КОТЁНКА И МЫШОНКА, мат.ламин, выб.лак, офсет 203х257</t>
  </si>
  <si>
    <t>978-5-378-35469-6</t>
  </si>
  <si>
    <t>Дорогой наш маленький читатель! Ты держишь в руках книгу с историей о настоящей дружбе и нелёгком пути к мечте. Чиз, мышонок-альбинос, и его друг, одноухий котёнок Лучик, отличаются от своих сородичей и уже давно живут на улице. Покосившийся
сарай с дырявой крышей служит им укрытием, а груда кирпичей - лежанкой. Но зима совсем близко, и друзья отправляются в путешествие, чтобы исполнить свою мечту и найти дом, где будет не только тепло и сытно, но и где их примут и полюбят такими, какие они есть.</t>
  </si>
  <si>
    <t>9785378354696</t>
  </si>
  <si>
    <t>Клушина Ольга</t>
  </si>
  <si>
    <t>1e9c3e4f704e5ee5e41efc502c11a95d</t>
  </si>
  <si>
    <t>156735</t>
  </si>
  <si>
    <t>ИСТОРИЯ О НАСТОЯЩЕЙ ДРУЖБЕ глянц.ламин.обл, 195х232</t>
  </si>
  <si>
    <t>978-5-378-31374-7</t>
  </si>
  <si>
    <t>Книжка с волшебными, красочными иллюстрациями, обаятельными героями и доброй историей очарует как маленьких читателей, так и их родителей! Она напомнит, как важно верить в настоящую дружбу, быть добрым и отзывчивым!</t>
  </si>
  <si>
    <t>9785378313747</t>
  </si>
  <si>
    <t>195х232х7</t>
  </si>
  <si>
    <t>193286</t>
  </si>
  <si>
    <t>КАК ЛЁЛИК ПИРАТСКИЙ КЛАД ИСКАЛ глянц.ламин.обл. мелов.бум. 215х288</t>
  </si>
  <si>
    <t>978-5-378-33988-4</t>
  </si>
  <si>
    <t>Крот Лёлик со своими друзьями ежуней Шушуней и белочкой Коко находят карту сокровищ и отправляются на поиски пиратского клада. Лёлик и не предполагал, с какими трудностями им придётся столкнуться в этом путешествии! Что же обнаружат друзья в тёмных лабиринтах пещеры?</t>
  </si>
  <si>
    <t>9785378339884</t>
  </si>
  <si>
    <t>Иванская Майя Александровна</t>
  </si>
  <si>
    <t>93faae26f020e816cec7726c50638922</t>
  </si>
  <si>
    <t>169882</t>
  </si>
  <si>
    <t>КАК ШУШУНЯ ЗА ЯБЛОКАМИ ХОДИЛА глянц.ламин. тиснение, мелов.бум.  215х288</t>
  </si>
  <si>
    <t>978-5-378-32062-2</t>
  </si>
  <si>
    <t>Лесные обитатели готовятся к празднику выпечки и угощений. Но оказывается, что чудесный яблочный пирог, который ежуня Шушуня испекла вместе со своей бабушкой Ежевикой Ежовной, кто-то съел. Шушуня решает спасти праздник и отправляется за яблоками для нового пирога.</t>
  </si>
  <si>
    <t>9785378320622</t>
  </si>
  <si>
    <t>f4b1d2758c619f595da73cab9826b14f</t>
  </si>
  <si>
    <t>215х288х7</t>
  </si>
  <si>
    <t>243513</t>
  </si>
  <si>
    <t>МЯУШ И ЭЛЛИ мат.ламин.обл, выб.лак, офсет 203x257</t>
  </si>
  <si>
    <t>978-5-378-35308-8</t>
  </si>
  <si>
    <t>В жизни благородного домашнего кота случилось неслыханное потрясение. В уютной квартирке, которую он любезно разрешал делить с ним парочке хозяев, поселилась белая лохматая болонка.
Но плохо вы знаете Мяуша! Он непременно придумает, как выгнать шумную соседку, посмевшую вторгнуться в его беспечные, похожие друг на друга будни.</t>
  </si>
  <si>
    <t>9785378353088</t>
  </si>
  <si>
    <t>Глазунова Анастасия Александровна</t>
  </si>
  <si>
    <t>b09ee1a989fdb08fbe21344189f013c3</t>
  </si>
  <si>
    <t>203х257х6</t>
  </si>
  <si>
    <t>221312</t>
  </si>
  <si>
    <t>НАЙДИ СВОЙ КАМЕНЬ глянц.ламин, офсет. 195х260</t>
  </si>
  <si>
    <t>978-5-378-35212-8</t>
  </si>
  <si>
    <t>У племени шнипсов наступили трудные времена. Русло Великой реки пересохло, а прошлогодние запасы кукурузы заканчиваются. Каждому из трёх маленьких шнипсов предстоит найти волшебный камень, который разбудит его талант. Согласно предсказанию шаманки Шукли, именно это поможет спасти племя!</t>
  </si>
  <si>
    <t>9785378352128</t>
  </si>
  <si>
    <t>Бурак Елена Сергеевна</t>
  </si>
  <si>
    <t>84ccd0a9b5b680c94ed1a8cc9fe57780</t>
  </si>
  <si>
    <t>195х260х5</t>
  </si>
  <si>
    <t>230499</t>
  </si>
  <si>
    <t>ПОЛЕЗНЫЕ СКАЗКИ В КОМИКСАХ. ЛЕМУРЧИК И ЕГО ЧУВСТВА выб.лак, офсет 170х240</t>
  </si>
  <si>
    <t>978-5-378-34798-8</t>
  </si>
  <si>
    <t>Дорогой наш читатель! Ты держишь в руках полезные сказки в комиксах про Лемурчика Лори, который сталкивается с различными ситуациями, получает поддержку близких и исследует безграничный и увлекательный мир чувств и эмоций — от радости до грусти, от зависти до любопытства. Тёплые иллюстрации в виде комиксов, яркая мимика героев, а также их диалоги просто и доступно раскрывают основы эмоционального интеллекта, помогая маленьким читателям понять и их собственные чувства.</t>
  </si>
  <si>
    <t>9785378347988</t>
  </si>
  <si>
    <t>Бонда Дарья</t>
  </si>
  <si>
    <t>53785c8a4d579dfadb7affa8c74cf695</t>
  </si>
  <si>
    <t>170х240х8</t>
  </si>
  <si>
    <t>243515</t>
  </si>
  <si>
    <t>ПРИКЛЮЧЕНИЯ КОШКИ МАТРЁШКИ. Кто в доме хозяин, глянц.ламин, офсет 145х203</t>
  </si>
  <si>
    <t>978-5-378-35317-0</t>
  </si>
  <si>
    <t>Управдом не просто лучший друг, но и главный помощник человека. Особенно если вы только что заселились в многоэтажку. Только одному ему не под силу уладить все споры c жильцами. Скромному учителю ОБЖ и по совместительству старшему по московской новостройке Ивану Андреевичу повезло. Вместе с соседской кошкой Матрёшкой им удаётся решить не только острые бытовые вопросы, но и найти взаимопонимание с самыми неуступчивыми соседями.</t>
  </si>
  <si>
    <t>9785378353170</t>
  </si>
  <si>
    <t>9c1bab85807fbb9f98f0851d987276b1</t>
  </si>
  <si>
    <t>268543</t>
  </si>
  <si>
    <t>САМОЛЁТИК, ТЫ СМОЖЕШЬ! глянц.ламин, 203х257</t>
  </si>
  <si>
    <t>978-5-378-35949-3</t>
  </si>
  <si>
    <t>Как же обидно ничего не уметь и по глупости совершать ошибки... Но маленький самолётик непременно научится летать выше птиц и быстрее скорости звука! А ещё он спасёт маму и сдаст свой первый и такой важный экзамен в жизни! В книге Екатерины Сиротиной не просто детская история о самолётах и вертолётах, но и познавательные факты об их устройстве и предназначении. Интересного вам чтения!</t>
  </si>
  <si>
    <t>9785378359493</t>
  </si>
  <si>
    <t>Сиротина Екатерина</t>
  </si>
  <si>
    <t>138854bc96b7a2a797ef4f06e542672e</t>
  </si>
  <si>
    <t>203х257х7</t>
  </si>
  <si>
    <t>162341</t>
  </si>
  <si>
    <t>САМЫЙ ХРАБРЫЙ МУРАВЕЙ мат.ламин.обл, выбор.лак, мелов.бум.  215х288</t>
  </si>
  <si>
    <t>978-5-378-31724-0</t>
  </si>
  <si>
    <t>Из книги ребёнок узнает о том, что даже будучи очень маленьким, можно иметь большое храброе сердце. Именно благодаря ему муравьишка находит новых друзей и спасает школу от потопа. Красочные иллюстрации и колоритные персонажи мира насекомых полюбятся юным читателям!</t>
  </si>
  <si>
    <t>9785378317240</t>
  </si>
  <si>
    <t>18464f0b4c7b63d943054e9d9e16ee32</t>
  </si>
  <si>
    <t>215х288х8</t>
  </si>
  <si>
    <t>216548</t>
  </si>
  <si>
    <t>СБОРНИК ДОБРЫХ ИСТОРИЙ. МАМА, ПОЧИТАЙ!</t>
  </si>
  <si>
    <t>978-5-378-34523-6</t>
  </si>
  <si>
    <t>В сборник вошли 5 добрых историй для чтения с мамой. Из книги малыши узнают, что нужно быть вежливыми и дружелюбными, любовь родителей не зависит ни от каких обстоятельств, а если браться за дело всем вместе, то всё получится. Пусть семейное чтение будет вашей доброй традицией!</t>
  </si>
  <si>
    <t>9785378345236</t>
  </si>
  <si>
    <t>Моркина Татьяна,Бонда Дарья,Каграманова Екатерина Рамзикова,Васягина Веста Анатольевна,Венедиктова Юлия Александровна</t>
  </si>
  <si>
    <t>59534230d9ed8b42d1b5de5981b53995</t>
  </si>
  <si>
    <t>216549</t>
  </si>
  <si>
    <t>СБОРНИК ДОБРЫХ ИСТОРИЙ. ПАПА, ПОЧИТАЙ!</t>
  </si>
  <si>
    <t>978-5-378-34524-3</t>
  </si>
  <si>
    <t>В сборник вошли 8 добрых историй для чтения с папой. Из книги малыши узнают, что играть вместе веселее, досуг с родителями интереснее гаджетов, а справляться со страхами легче с поддержкой друзей и семьи. Пусть семейное чтение будет вашей доброй традицией!</t>
  </si>
  <si>
    <t>9785378345243</t>
  </si>
  <si>
    <t>Венедиктова Юлия Александровна,Бонда Дарья,Голубятникова Ольга Ивановна,Грецкая Анастасия Николаевна</t>
  </si>
  <si>
    <t>f970faea5f13e7b60b7b7137692b0eb5</t>
  </si>
  <si>
    <t>261461</t>
  </si>
  <si>
    <t>СОЛНЦЕ В ГОРОХ. Приключения Антошки и Костика, глянц.ламин 172х220</t>
  </si>
  <si>
    <t>978-5-378-35756-7</t>
  </si>
  <si>
    <t>Антошке семь, он проводит лето в деревне с аппетитным названием Гороховка, и всё вроде бы хорошо, но у него совсем нет друзей. Одним прекрасным днём всё меняется, ведь он знакомится с Костиком! Да как знакомится: благодаря бородатой козе! С этой минуты жизнь становится веселее, и вот уже у Антошки много друзей, а каждый день случаются самые настоящие приключения! Ребята промокают под жутким ливнем, плавают в «настоящем» океане, забираются в заброшенный дом, спасаются от гусей, ловят рыбу и многое-многое другое.</t>
  </si>
  <si>
    <t>9785378357567</t>
  </si>
  <si>
    <t>Заболотная Этери Николаевна</t>
  </si>
  <si>
    <t>0dc97e761be5d6110092a69d3dc5d1a7</t>
  </si>
  <si>
    <t>195176</t>
  </si>
  <si>
    <t>Я ТЕБЯ ОБНИМУ мат.ламин.обл, выб.лак, офсет 200х250</t>
  </si>
  <si>
    <t>978-5-378-34055-2</t>
  </si>
  <si>
    <t>Никто не хочет дружить с дикобразиком - а все из-за его острых иголок! Каждый раз, когда малыш хочет обнять от радости или из чувства благодарности кого-то из зверей, делает тому больно. Но ведь всех обнимать и не нужно! Достаточно мамы, которой он не причинит никакого вреда. А с остальными можно быть просто вежливым и доброжелательным!</t>
  </si>
  <si>
    <t>9785378340552</t>
  </si>
  <si>
    <t>Моркина Татьяна</t>
  </si>
  <si>
    <t>2f1e74e86bf4f4da83e151ab702334bc</t>
  </si>
  <si>
    <t>200х250х5</t>
  </si>
  <si>
    <t>(6+) СОВРЕМЕННЫЕ ПИСАТЕЛИ</t>
  </si>
  <si>
    <t>162315</t>
  </si>
  <si>
    <t>ВОЗВРАЩЕНИЕ НА СЕДЬМОЙ ХОЛМ. Оливия Вульф. глянц.ламин, тиснение, офсет. 200х240</t>
  </si>
  <si>
    <t>978-5-378-31717-2</t>
  </si>
  <si>
    <t>«Возвращение на Седьмой Холм» — это волшебная история о сёстрах-близняшках — Вивьен и Софии, которая завораживает с первых страниц. Книга будет интересна не только детям, но и взрослым — захватывающий сюжет перенесёт в удивительный мир сказочных героев и невероятных приключений.
Много испытаний выпало на долю маленькой, но очень отважной героини Вивьен, отправившейся на поиски своей сестры. Ей предстоит встретиться с пиратами, колдуньями и даже драконом, но она ни на секунду не потеряет веру в себя, добро и справедливость.
Эта книга покорит ваше сердце!</t>
  </si>
  <si>
    <t>9785378317172</t>
  </si>
  <si>
    <t>Вульф Оливия</t>
  </si>
  <si>
    <t>200х240х10</t>
  </si>
  <si>
    <t>243422</t>
  </si>
  <si>
    <t>ДНЕВНИК СЛАВЫ БЫЛИНУШКИНА ИЗ 4 "Ж" глянц.ламин, офсет 170х220</t>
  </si>
  <si>
    <t>978-5-378-35314-9</t>
  </si>
  <si>
    <t>Слава Былинушкин — весёлый любознательный четвероклассник, который терпеть не может математику и английский и всеми правдами и неправдами пытается освободиться от уроков. Он уверен, что двойки ему ставят незаконно, и активно протестует против учительского «произвола». Слава не прочь похулиганить и попадает в невероятные переделки, от которых взрослые теряют дар речи. Но однажды Слава с удивлением обнаруживает, что и от столь ненавистной ему школы есть польза... Юмористическая повесть Татьяны Золотарёвой посвящается всем жизнерадостным мальчишкам и девчонкам. Будьте осторожны: книга вызывает приступы неконтролируемого смеха!</t>
  </si>
  <si>
    <t>9785378353149</t>
  </si>
  <si>
    <t>Золотарёва Татьяна Евгеньевна</t>
  </si>
  <si>
    <t>e71bafa524f3a12867f8da3cf45e749d</t>
  </si>
  <si>
    <t>253368</t>
  </si>
  <si>
    <t>ЗАБАВНЫЕ ПРИКЛЮЧЕНИЯ В ШКОЛЕ И НА КАНИКУЛАХ глянц.ламин обл. 170x220</t>
  </si>
  <si>
    <t>978-5-378-35576-1</t>
  </si>
  <si>
    <t>Если вы думаете, что все девочки паиньки, то вы просто не знакомы со Светкой Курочкиной. Это ходячее несчастье и фонтан неожиданностей. Как высушить подмоченную репутацию, спасти дракона и получить трофей в охоте на старушек? Чем занимается сардельная семья и как накраситься так, чтобы все рыдали? Кто лучше всех орёт кричалки и борется с контрольными по математике? Всё это вы узнаете, прочитав непредсказуемосмешные и уморительно-романтические истории про приключения Светки и её друзей.</t>
  </si>
  <si>
    <t>9785378355761</t>
  </si>
  <si>
    <t>Гурина Ирина Валерьевна</t>
  </si>
  <si>
    <t>b20c6d503108b8fdc53221a9f9d1ea71</t>
  </si>
  <si>
    <t>170x220x12</t>
  </si>
  <si>
    <t>242321</t>
  </si>
  <si>
    <t>КЛАССНЫЕ ИСТОРИИ НАШЕГО КЛАССА глянц.ламин, офсет 170х220</t>
  </si>
  <si>
    <t>978-5-378-35243-2</t>
  </si>
  <si>
    <t>Марк и его одноклассники: близнецы с одинаковыми именами Вася и Вася, спортсмен Егор-выше-гор, неугомонная Янка хулиганка, защитница природы Марьяна и юморист Тимур — с появлением учительницы Анкеты Андреевны (интересно, почему её так зовут?) с радостью спешат в школу. в этом году их ждут уроки единорогов и динозавров, любовных песен, спасения ёжиков и много других классных занятий. А ещё в их компании — новенький по прозвищу Продавец хомяка! С ним можно поговорить о самокатах, драках, собаках, младшем брате и, конечно, хомяках! Но самую главную тайну своего нового друга Марк узнает, когда любимая учительница однажды не придёт на урок...</t>
  </si>
  <si>
    <t>9785378352432</t>
  </si>
  <si>
    <t>Абишова Зульфия</t>
  </si>
  <si>
    <t>6079ca7d53caf8df0536e9ccd9142d66</t>
  </si>
  <si>
    <t>242344</t>
  </si>
  <si>
    <t>КОСМИЧЕСКИЕ ПРИКЛЮЧЕНИЯ СЁМЫ ПЕЧЕНЮШКИНА мат.лам. выб.лак, офсет 203х240</t>
  </si>
  <si>
    <t>978-5-378-35244-9</t>
  </si>
  <si>
    <t>Однажды в квартире Печенюшкиных раздаётся звонок: Сёму срочно вызывают в Звёздный городок для выполнения важного задания. Мальчик должен лететь в космос, чтобы передать суперсекретное сообщение марсианину Уль-Ули-Люю...</t>
  </si>
  <si>
    <t>9785378352449</t>
  </si>
  <si>
    <t>4e4eb8651152a5cc8745f14bc5e1d264</t>
  </si>
  <si>
    <t>245174</t>
  </si>
  <si>
    <t>ПАТРИОТИЧЕСКИЕ РАССКАЗЫ ДЛЯ ШКОЛЬНИКОВ глянц.ламин, офсет 170х220</t>
  </si>
  <si>
    <t>978-5-378-35309-5</t>
  </si>
  <si>
    <t>Любовь к Родине, чувство справедливости, умение сострадать... Есть ценности и идеалы, незыблемые для всех поколений людей, рождённых в нашей стране. в эту книгу вошли рассказы современных авторов о главном: К чему стремиться и на кого равняться, О чём стоит помнить и говорить сегодня, завтра и всегда.</t>
  </si>
  <si>
    <t>9785378353095</t>
  </si>
  <si>
    <t>Назарова Лариса Геннадьевна,Григорьев Константин,Сорока Светлана Николаевна</t>
  </si>
  <si>
    <t>c01bf782aa5a9b82777b43741025fb23</t>
  </si>
  <si>
    <t>170x220x10</t>
  </si>
  <si>
    <t>183452</t>
  </si>
  <si>
    <t>РАССКАЗЫ ДЛЯ ШКОЛЬНИКОВ глянц.ламин.обл. офсет 171х216</t>
  </si>
  <si>
    <t>978-5-378-33421-6</t>
  </si>
  <si>
    <t>Рассказы для школьников - это уже второй сборник увлекательных историй из серии "Школьные рассказы". Автор книги Светлана Сорока – учитель русского языка и литературы, потому особенно живо и точно описывает ситуации, в которые попадают ученики. Благодаря простому языку книга будет интересна и понятна детям младшего и среднего школьного возраста.</t>
  </si>
  <si>
    <t>9785378334216</t>
  </si>
  <si>
    <t>Сорока Светлана Николаевна</t>
  </si>
  <si>
    <t>171x216x8</t>
  </si>
  <si>
    <t>216532</t>
  </si>
  <si>
    <t>ШКОЛЬНЫЕ РАССКАЗЫ ПРО ЛЮБОВЬ выб.лак, офсет 170х215</t>
  </si>
  <si>
    <t>978-5-378-34525-0</t>
  </si>
  <si>
    <t>Первая любовь — самая искренняя и чистая. Первые свидания — самые волнительные и трепетные... Перед вами сборник романтических рассказов о юношеских чувствах, робких признаниях и сильных поступках ради того, кто дорог. Сюжеты, описанные в книге, понятны каждому подростку, а в героях легко узнать одноклассника, соседа по подъезду и даже самого себя...</t>
  </si>
  <si>
    <t>9785378345250</t>
  </si>
  <si>
    <t>9afb78a0bfa55319cfa73f85a2302306</t>
  </si>
  <si>
    <t>170х215х10</t>
  </si>
  <si>
    <t>256219</t>
  </si>
  <si>
    <t>Я ТЕБЯ НЕ БРОШУ. Кот, который нам нужен (7БЦ)</t>
  </si>
  <si>
    <t>978-5-378-35598-3</t>
  </si>
  <si>
    <t>Стешу любят больше... По крайней мере, Никита, её старший брат, в этом не сомневался. Недавно девочка сломала ногу, и теперь всё внимание родителей было приковано к ней. Но мальчику казалось, что травма ни при чём — так было с самого рождения сестры. Грустные мысли гнали прочь, на улицу... Наверное, чтобы встретить бездомного чёрного кота, который станет не просто лучшим другом, но и частью крепкой, настоящей семьи.</t>
  </si>
  <si>
    <t>9785378355983</t>
  </si>
  <si>
    <t>0b25d50a4c5f357b88e010af39e7b56f</t>
  </si>
  <si>
    <t>243512</t>
  </si>
  <si>
    <t>Я ТЕБЯ НЕ БРОШУ. Кот, который нам нужен (КБС)</t>
  </si>
  <si>
    <t>978-5-378-35316-3</t>
  </si>
  <si>
    <t>9785378353163</t>
  </si>
  <si>
    <t>d630f0fa9fa4278a06b9b77e1ef2f308</t>
  </si>
  <si>
    <t>130x180x6</t>
  </si>
  <si>
    <t>263049</t>
  </si>
  <si>
    <t>Я ТЕБЯ НЕ БРОШУ. Полосатое счастье (7БЦ)</t>
  </si>
  <si>
    <t>978-5-378-35816-8</t>
  </si>
  <si>
    <t xml:space="preserve">Подлинная история, трогательно описанная автором на страницах книги, произошла в девяностые годы прошлого века. Это было время телефонов с тугими дисками, листьев подорожника на ссадинах, обкусанных горбушек горячего хлеба. Эпоха крутых перемен в стране, но самое счастливое детство миллионов ребят. Среди них была и третьеклассница Юнька. Однажды на майские праздники с подозрением на пневмонию она попала в больницу, вокруг которой раскинулся частный сектор, и люди постоянно подбрасывали домашних животных в дырки в заборе. Гуляя по территории, девочка заметила больного котёнка, который никого к себе не подпускал. Без помощи человека ему точно не выжить, и маленькая героиня решает во что бы то ни стало спасти малыша и подарить ему любящую семью. </t>
  </si>
  <si>
    <t>9785378358168</t>
  </si>
  <si>
    <t>Коскина Ксения Леонидовна</t>
  </si>
  <si>
    <t>db51c78ad8d6d9e6c34cbaab615a9d12</t>
  </si>
  <si>
    <t>256220</t>
  </si>
  <si>
    <t>Я ТЕБЯ НЕ БРОШУ. Собаки нашего двора (7БЦ)</t>
  </si>
  <si>
    <t>978-5-378-35599-0</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</si>
  <si>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</si>
  <si>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9785378355990</t>
  </si>
  <si>
    <t>3a940401907216200fb96cb31bf2f184</t>
  </si>
  <si>
    <t>246425</t>
  </si>
  <si>
    <t>Я ТЕБЯ НЕ БРОШУ. Собаки нашего двора (КБС)</t>
  </si>
  <si>
    <t>978-5-378-35407-8</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</si>
  <si>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</si>
  <si>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9785378354078</t>
  </si>
  <si>
    <t>4d9982fd6b3ebe3b2ae1c68239b44163</t>
  </si>
  <si>
    <t>ДЕТСКИЕ ДЕТЕКТИВЫ</t>
  </si>
  <si>
    <t>СЕРИЯ: БОЛЬШАЯ КНИГА ДЕТЕКТИВОВ офсет 80гр, выб.лак 145х203</t>
  </si>
  <si>
    <t>240190</t>
  </si>
  <si>
    <t>БОЛЬШАЯ КНИГА ДЕТСКИХ ДЕТЕКТИВОВ</t>
  </si>
  <si>
    <t>978-5-378-35207-4</t>
  </si>
  <si>
    <t>Всем, всем, всем любите лям детективов! Под одной обложкой собрались три захватывающие истории: 
«Сыщики из 5 "А"» (автор А. Калинина), 
«Запутанное дело о пропаже сапфиров» (автор М. Лазаренская),
«Детективы на каникулах» (автор А. Сукгоева). 
Вас уже ждут тайны, загадки и запутанные расследования! Скорее открывайте книгу и — за дело!</t>
  </si>
  <si>
    <t>9785378352074</t>
  </si>
  <si>
    <t>Калинина Александра Николаевна,Лазаренская Майя Владимировна,Сугкоева Анастасия Михайловна</t>
  </si>
  <si>
    <t>c91928f51f5223c01f12054ff0b545cf</t>
  </si>
  <si>
    <t>145х204х18</t>
  </si>
  <si>
    <t>242293</t>
  </si>
  <si>
    <t>ЛУЧШИЕ ДЕТСКИЕ ДЕТЕКТИВЫ</t>
  </si>
  <si>
    <t>978-5-378-35283-8</t>
  </si>
  <si>
    <t>Детские детективы Этери Заболотной отличаются неожиданными поворотами сюжетов, увлекательными событиями и до конца заставляют гадать: кто же главный злодей?! Теперь у вас есть возможность получить сразу три запутанных истории под одной обложкой! В сборник вошли: «Тайна заброшенного дома», «Таинственное ограбление библиотеки» и «Дело о похищенной собаке» — финалист премии «Русский детектив» 2024 года.</t>
  </si>
  <si>
    <t>9785378352838</t>
  </si>
  <si>
    <t>337086d0aa9f1978f30e505ef9d5c18e</t>
  </si>
  <si>
    <t>СЕРИЯ: ДЕТСКИЙ ДЕТЕКТИВ КБС мат.ламин.выб.лак 155х210</t>
  </si>
  <si>
    <t>265112</t>
  </si>
  <si>
    <t>ДЕТСКИЙ ДЕТЕКТИВ КБС. Лучшие детективы для детей</t>
  </si>
  <si>
    <t>978-5-378-35875-5</t>
  </si>
  <si>
    <t>Этери Заболотная — признанный мастер детективного жанра. Книги автора пользуются популярностью и заслуженной любовью читателей. В новый сборник вошли истории, в которых уже полюбившиеся герои-детективы расследуют самые запутанные ситуации: «Тайна заброшенного дома», «Дело о похищенной собаке» — финалист премии «Русский детектив» 2024 года — и «Тайна крымского маяка». Попробуйте раскрыть каждое дело вместе с героями! Детективы — это не только чтение на досуге, но и возможность прокачать логическое мышление и умение находить причинно-следственные связи.</t>
  </si>
  <si>
    <t>9785378358755</t>
  </si>
  <si>
    <t>9bf2eb2c2815ace65b1602f91f27bfa6</t>
  </si>
  <si>
    <t>153х210х8</t>
  </si>
  <si>
    <t>246467</t>
  </si>
  <si>
    <t>ДЕТСКИЙ ДЕТЕКТИВ КБС. Тайна заброшенного дома</t>
  </si>
  <si>
    <t>978-5-378-35406-1</t>
  </si>
  <si>
    <t>Две лучшие подружки — Тося и Тамуся — проводят лето в Грачёвке. Обычная русская деревня со временем превратилась в элитный дачный посёлок, но исторические события, однажды произошедшие в ней, и в наши дни привлекают самых разных людей и представляют опасность для героев. Вместе с девочками тайны одного заброшенного дома исследуют братья-близнецы Сева и Миша. Детектив наверняка будет интересен читателям 8—12 лет. А зная о том, как грустно бывает расставаться с полюбившимися героями, мы решили подарить вам ещё одну историю о четвёрке друзей из Грачёвки — «Дело о похищенной собаке». Новые, до мурашек захватывающие приключения, ждут мальчишек и девчонок на страницах книги!</t>
  </si>
  <si>
    <t>9785378354061</t>
  </si>
  <si>
    <t>56f43aed905527e0bda40d45fcd96dca</t>
  </si>
  <si>
    <t>07.02.2025 0:00:00</t>
  </si>
  <si>
    <t>155х210х10</t>
  </si>
  <si>
    <t>256160</t>
  </si>
  <si>
    <t>ДЕТСКИЙ ДЕТЕКТИВ КБС. Тайна крымского маяка</t>
  </si>
  <si>
    <t>978-5-378-35645-4</t>
  </si>
  <si>
    <t>Новая захватывающая история о приключениях Тоси, Тамуси, Севы и Миши! На этот раз ребята проводят летние каникулы в Крыму! Природа, море, жаркое южное солнце и… чёрные кладоискатели. Наши юные детективы подросли и изменились, но не оставили общее увлечение — пользуясь смекалкой и находчивостью, и даже рискуя жизнями, они выходят на след преступников. Это лето подарило четвёрке сыщиков ещё одно раскрытое дело, а также новых друзей и помощников: Тимошку, Наташу и овчарку Альму.
Не прощаемся:)</t>
  </si>
  <si>
    <t>9785378356454</t>
  </si>
  <si>
    <t>0d7f08a08d437d8d39e777a583d97386</t>
  </si>
  <si>
    <t>265114</t>
  </si>
  <si>
    <t>ДЕТСКИЙ ДЕТЕКТИВ КБС. Тайна пропажи футбольного кубка</t>
  </si>
  <si>
    <t>978-5-378-35876-2</t>
  </si>
  <si>
    <t>Слава, Клим и Бо — одноклассники, друзья и игроки школьной футбольной команды «Ракета». Ребята, как и все настоящие спортсмены, серьёзно относятся к ритуалам, которые проводит их тренер перед игрой. И нет ничего хуже, если в этом деле что-то идёт не так. В этот раз случилось страшное: исчез самый главный атрибут ритуала — победный кубок.
Друзья решили во что бы то ни стало распутать это ужасное преступление. Кому нужно было сломить командный дух: соперникам, завистникам из школы или… Не может быть! Книга новой серии «Детский спортивный детектив» подарит вам интригующее расследование и неожиданный финал. Вы точно удивитесь!</t>
  </si>
  <si>
    <t>9785378358762</t>
  </si>
  <si>
    <t>Ситников Юрий</t>
  </si>
  <si>
    <t>78accfdaafb8d0b459123d05de4f5009</t>
  </si>
  <si>
    <t>СЕРИЯ: ДЕТСКИЙ ДЕТЕКТИВ офсет 100гр, выб.лак 142х220</t>
  </si>
  <si>
    <t>216531</t>
  </si>
  <si>
    <t>ДЕТСКИЙ ДЕТЕКТИВ 144стр. СОКРОВИЩЕ ЭЙЛАНДА</t>
  </si>
  <si>
    <t>978-5-378-34454-3</t>
  </si>
  <si>
    <t>Из дворцового хранилища пропал перстень с изумрудом — символ власти правителя Эйланда Русина. А ведь всего через несколько дней принц Георг из соседнего государства прибудет свататься к старшей дочери монарха Петре. Если на Русине не будет перстня, он лишится доверия народов Союза южных королевств... Найти сокровище до приезда высоких гостей решается младшая сестра Петры Лада, а поможет ей в этом сын садовника Нильс, которого несправедливо обвинили в краже драгоценной реликвии...</t>
  </si>
  <si>
    <t>9785378344543</t>
  </si>
  <si>
    <t>Коноплястая Мария Дмитриевна</t>
  </si>
  <si>
    <t>77d82bfc78fb13486020ca01839924ff</t>
  </si>
  <si>
    <t>145х220х12</t>
  </si>
  <si>
    <t>230505</t>
  </si>
  <si>
    <t>ДЕТСКИЙ ДЕТЕКТИВ 80 стр. ПИТЕР И ЛИЛА ВЕДУТ РАССЛЕДОВАНИЕ. МОЛОЧНИК ИЗ КОРОЛЕВСКОГО СЕРВИЗА</t>
  </si>
  <si>
    <t>978-5-378-34847-3</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</si>
  <si>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"Черный коготь" снова в деле!</t>
  </si>
  <si>
    <t>9785378348473</t>
  </si>
  <si>
    <t>Александровская Наталья</t>
  </si>
  <si>
    <t>8131739e67c79a160370add0c70a502e</t>
  </si>
  <si>
    <t>142х220х10</t>
  </si>
  <si>
    <t>218630</t>
  </si>
  <si>
    <t>ДЕТСКИЙ ДЕТЕКТИВ 96 стр. ПИТЕР И ЛИЛА ВЕДУТ РАССЛЕДОВАНИЕ. БУЛОЧКА С КОРИЦЕЙ ДЛЯ МИСТЕРА ХАМО</t>
  </si>
  <si>
    <t>978-5-378-34569-4</t>
  </si>
  <si>
    <t>Каждый день мистера Хамо, мрачного и подозрительного соседа Питера, проходит по одному и тому же сценарию. Хамо не приглашает к себе гостей, выходит из дома только в булочную, а своим единственным другом считает газонокосилку. В один прекрасный (или ужасный) день мужчина исчезает. Вскоре после этого в городе начинают пропадать собаки мелких пород. Питер и Лила уверены: эти события как-то связаны...</t>
  </si>
  <si>
    <t>9785378345694</t>
  </si>
  <si>
    <t>cc35fabb0e79850b7272f9204080ade0</t>
  </si>
  <si>
    <t>СЕРИЯ: ДЕТСКИЙ ДЕТЕКТИВ офсет 100гр, глянц.ламин.</t>
  </si>
  <si>
    <t>199421</t>
  </si>
  <si>
    <t>ДЕТСКИЙ ДЕТЕКТИВ. Дело о похищенной собаке, 128стр</t>
  </si>
  <si>
    <t>978-5-378-34148-1</t>
  </si>
  <si>
    <t>«Берта пропала!» — с этих слов началось одно зимнее утро братьев Севы и Миши. Думали ли мальчишки, что каникулы в деревне превратятся в новое детективное приключение?! Осталось только дождаться подруг — Тосю и Тамусю — таких же неугомонных любительниц расследований и тайн, и приниматься за дело! Похищение собаки элитной породы — казалось бы, ничего запутанного в этом событии нет. Ведь пёсика можно выгодно продать. Но нет! Секреты кроются в мелочах! Скорее открывайте книгу и вместе с её главными героями по крупицам соберите ключи к разгадке необычного похищения. Детектив будет интересен читателям 8—12 лет. А если не хочется расставаться с дружной четвёркой друзей, читайте ещё одну увлекательную историю с их участием — «Тайна заброшенного дома».</t>
  </si>
  <si>
    <t>9785378341481</t>
  </si>
  <si>
    <t>03f3cbaa5c367cf1f7d36fc3fc95d7b9</t>
  </si>
  <si>
    <t>162х216х12</t>
  </si>
  <si>
    <t>229434</t>
  </si>
  <si>
    <t>ДЕТСКИЙ ДЕТЕКТИВ. Детективы на каникулах, 128стр</t>
  </si>
  <si>
    <t>978-5-378-34799-5</t>
  </si>
  <si>
    <t>Как проходят ваши летние каникулы? Что больше по душе: скучные и душные городские «джунгли» или тихая деревушка? Мирон, Юрок и Василиса знают точный ответ на этот вопрос, ведь это их лето запомнится на всю жизнь. Спокойные деревенские будни нарушены шокирующей новостью: по соседству поселилась классуха. Да не просто классуха, а самая настоящая ведьма! Или нет? Давайте разбираться!</t>
  </si>
  <si>
    <t>9785378347995</t>
  </si>
  <si>
    <t>Сукгоева Анастасия Михайловна</t>
  </si>
  <si>
    <t>12bba83cd83b634b345c5eba2371b414</t>
  </si>
  <si>
    <t>199423</t>
  </si>
  <si>
    <t>ДЕТСКИЙ ДЕТЕКТИВ. Запутанное дело о пропаже сапфиров, 128стр</t>
  </si>
  <si>
    <t>978-5-378-34147-4</t>
  </si>
  <si>
    <t>А вы бывали в «Грум Грумыче»? Нет? Тогда самое время взять своего питомца и отвести его к мастерам этого чудесного салона. Пенная ванна, стрижка — всё, что пожелает ваш четвероногий друг! Только будьте внимательны! Ненароком вы можете оказаться в гуще детективных событий, как наши герои. Ева и Никита — брат и сестра, а их мама — владелица салона красоты для животных, где и суждено было случиться необыкновенному приключению, благодаря которому ребята на время превратились в настоящих детективов и вместе с помощниками смогли разоблачить главного преступника. Детектив будет интересен читателям 8—12 лет.</t>
  </si>
  <si>
    <t>9785378341474</t>
  </si>
  <si>
    <t>Лазаренская Майя Владимировна</t>
  </si>
  <si>
    <t>5dd16ded80788ae968fd6e2ecfb21d43</t>
  </si>
  <si>
    <t>259934</t>
  </si>
  <si>
    <t>ДЕТСКИЙ ДЕТЕКТИВ. Новые приключения детектива Вени и кота Цуката, 96стр</t>
  </si>
  <si>
    <t>978-5-378-35702-4</t>
  </si>
  <si>
    <t>Полюбившиеся всем детективы Веня и Цукат продолжают распутывать самые сложные дела по горячим следам! Снова отправляемся в маленький и уютный городок. Мы узнаем, кто похитил ключ от главных городских часов, зачем по ночному городку разгуливают — у-у-у! Привидения! Детективы отыщут пропавшего из зоопарка пингвина, раскроют секрет исчезнувших булочек и многое другое! А ещё мы с вами проследим, как складываются отношения Цуката и его теперь уже настоящих друзей — Лимончика и Мурзика.</t>
  </si>
  <si>
    <t>9785378357024</t>
  </si>
  <si>
    <t>fcbce8677ebec37cfb20726973b45073</t>
  </si>
  <si>
    <t>170х220х8</t>
  </si>
  <si>
    <t>265791</t>
  </si>
  <si>
    <t>ДЕТСКИЙ ДЕТЕКТИВ. Преступление в скором поезде, 96стр</t>
  </si>
  <si>
    <t>978-5-378-35865-6</t>
  </si>
  <si>
    <t>Новая детективная история от Этери Заболотной! Обычная скучная поездка на поезде такой бы и осталась, если бы не преступление: настоящая кража! Расследовать дело предстоит друзьям Авдею и Мирону. Мальчишки проявляют находчивость и смелость и оказываются в эпицентре захватывающего приключения! Кто бы мог подумать, на какие хитрости способны люди ради наживы! Уважаемые пассажиры, просьба открыть книгу и устроиться поудобнее, наш поезд отправляется!</t>
  </si>
  <si>
    <t>9785378358656</t>
  </si>
  <si>
    <t>4780113a5ef90e0577bf669d30289ae6</t>
  </si>
  <si>
    <t>248057</t>
  </si>
  <si>
    <t>ДЕТСКИЙ ДЕТЕКТИВ. Призрак старой усадьбы, 96стр</t>
  </si>
  <si>
    <t>978-5-378-35449-8</t>
  </si>
  <si>
    <t>Катя и Потап — двоюродные брат и сестра. Они ровесники, но интересы у них очень разные. Однако этим летом им придётся стать дружной командой, чтобы распутать одно таинственное дело. Детям будет нелегко, ведь главный подозреваемый — призрак. Открывайте книгу и попробуйте вместе с героями разобраться в хитросплетениях тайн старинной усадьбы! Спойлер: бояться нужно не привидений.</t>
  </si>
  <si>
    <t>9785378354498</t>
  </si>
  <si>
    <t>Заболотная Этери Николаевна,Демченкова Тамара</t>
  </si>
  <si>
    <t>58665b7b7f8c41493c344fd04f3f5d8a</t>
  </si>
  <si>
    <t>246560</t>
  </si>
  <si>
    <t>ДЕТСКИЙ ДЕТЕКТИВ. Приключения детектива Вени и кота Цуката, 96стр</t>
  </si>
  <si>
    <t>978-5-378-35430-6</t>
  </si>
  <si>
    <t>Маленький городок, предновогодняя суета, жители готовятся к самому яркому празднику года. Казалось бы, что может омрачить это чудесное время? Конечно же, мелкие и неприятные происшествия: то у единственного на всю округу доктора велосипед украли, то главная ёлочная звезда исчезла, то день города чуть не сорвался из-за пропажи торта! Но опытный сыщик Веня и его помощник кот Цукат умело раскрывают даже самые запутанные преступления! Открывайте скорее книгу и попробуйте отыскать злодеев вместе с героями!</t>
  </si>
  <si>
    <t>9785378354306</t>
  </si>
  <si>
    <t>a1e126e8bdea517ee78c3c1b7e6a90d1</t>
  </si>
  <si>
    <t>13.12.2024 0:00:00</t>
  </si>
  <si>
    <t>199424</t>
  </si>
  <si>
    <t>ДЕТСКИЙ ДЕТЕКТИВ. Сыщики из 5"А", 128стр</t>
  </si>
  <si>
    <t>978-5-378-34146-7</t>
  </si>
  <si>
    <t>Чем обычные дети занимаются в школе? Скучают на уроках, носятся по коридорам, иногда дерутся или придумывают розыгрыши для учителей. Только не в школе молодого креативного директора Павла Петровича! Тут не заскучаешь: то директорский ноут пропал, то динозавр исчез! Ага, не вымер даже, а просто исчез, как будто и не бывало. То учебники стали делать какие-то неправильные, и порядочным ученикам приходится искать виновных в этом безобразии. Вот так увлекательно проходят школьные дни
юных «Спасателей школы» — Егора, Кости, Милы, Ани и Ильи. Динамичный детектив с оригинальным сюжетом, сдобренный ноткой юмора, наверняка придётся по душе читателям 8—12 лет.</t>
  </si>
  <si>
    <t>9785378341467</t>
  </si>
  <si>
    <t>Калинина Александра Николаевна</t>
  </si>
  <si>
    <t>976d03514108fe7aae7a691776c1f822</t>
  </si>
  <si>
    <t>220575</t>
  </si>
  <si>
    <t>ДЕТСКИЙ ДЕТЕКТИВ. Таинственное ограбление библиотеки, 128стр</t>
  </si>
  <si>
    <t>978-5-378-34580-9</t>
  </si>
  <si>
    <t>Кто бы мог подумать, что в 21 веке преступникам придёт в голову грабить библиотеку?! Что там взять-то вообще, особенно летом? Книги? Ахах, не смешите! Это я так раньше думал. Но не всё так просто, это вы в Курликах не были. Тут знаете какие библиотеки бывают! Я Женя, будем знакомы. Мы с друзьями — Олей, Павликом и Стёпкой — совсем недавно закончили расследовать одно громкое библиотечное дело. Что, снова смешно? Да, представьте себе, и в библиотеке случаются громкие дела! Открывайте скорее книгу, расскажу всё в подробностях!</t>
  </si>
  <si>
    <t>9785378345809</t>
  </si>
  <si>
    <t>a3171b8b10ec6ab0a58086578d3f5b3c</t>
  </si>
  <si>
    <t>199422</t>
  </si>
  <si>
    <t>ДЕТСКИЙ ДЕТЕКТИВ. Тайна заброшенного дома, 128стр</t>
  </si>
  <si>
    <t>978-5-378-34159-7</t>
  </si>
  <si>
    <t xml:space="preserve">Две лучшие подружки — Тося и Тамуся — проводят лето в Грачёвке. Обычная русская деревня со временем превратилась в элитный дачный посёлок, но исторические события, однажды произошедшие в ней, и в наши дни привлекают самых разных людей и представляют опасность для героев. Вместе с девочками тайны одного заброшенного дома исследуют братья-близнецы Сева и Миша. Детектив наверняка будет интересен читателям 8—12 лет. А зная о том, как грустно бывает расставаться с полюбившимися героями, мы решили подарить вам ещё одну историю о четвёрке друзей из Грачёвки — «Дело о похищенной собаке». Новые, до мурашек захватывающие приключения, ждут мальчишек и девчонок на страницах книги! </t>
  </si>
  <si>
    <t>9785378341597</t>
  </si>
  <si>
    <t>0f7c21e344da738a4e470986a56c06c7</t>
  </si>
  <si>
    <t>238789</t>
  </si>
  <si>
    <t>ДЕТСКИЙ ДЕТЕКТИВ. Тайна капсулы времени, 128стр</t>
  </si>
  <si>
    <t>978-5-378-35157-2</t>
  </si>
  <si>
    <t>Корысть — не лучшее качество человека и до добра не доводит. В этом навсегда убедились некоторые участники нашей детективной истории — люди, объединённые одним городом, одними событиями и даже одним подъездом обыкновенной «панельки». Чужие тайны, шантаж, преступления: всё это встретится вам во время чтения. Прочитав книгу, постарайтесь сделать так, чтобы научиться на чужих ошибках и не натворить собственных…</t>
  </si>
  <si>
    <t>9785378351572</t>
  </si>
  <si>
    <t>Хотимченко Константин Анатольевич</t>
  </si>
  <si>
    <t>57e036fd3170f8c04de4dccd2f83a1d9</t>
  </si>
  <si>
    <t>СЕРИЯ: ДЕТСКИЙ ДЕТЕКТИВ офсет 80гр, глянц.ламин</t>
  </si>
  <si>
    <t>253349</t>
  </si>
  <si>
    <t>ДЕТСКИЙ ДЕТЕКТИВ 145x203. Дело о котокафе. Следствие ведёт Хулиган</t>
  </si>
  <si>
    <t>978-5-378-35586-0</t>
  </si>
  <si>
    <t>Месяц назад на оживлённой городской набережной открылось котокафе «Чай и обнимашки». С тех пор от желающих провести свободное время с милыми пушистиками не было отбоя. Но вдруг вокруг питомцев и их уютного дома стали разворачиваться тревожные события... Кому-то явно мешают «Чай и обнимашки», и этот кто-то не остановится ни перед чем. Раскрыть преступника поможет... Хулиган, невероятно шустрая и сообразительная морская свинка.</t>
  </si>
  <si>
    <t>9785378355860</t>
  </si>
  <si>
    <t>Алымова Ирина</t>
  </si>
  <si>
    <t>2b5dcdbd7f5b9ccd92150b3177656ae2</t>
  </si>
  <si>
    <t>144x204x12</t>
  </si>
  <si>
    <t>223828</t>
  </si>
  <si>
    <t>ДЕТСКИЙ ДЕТЕКТИВ 145x203. Загадка пропавшей капибары, 80стр</t>
  </si>
  <si>
    <t>978-5-378-34646-2</t>
  </si>
  <si>
    <t>В одном маленьком городке жилось совсем скучно. Никакие события давно не нарушали его спокойные, как гладь лесного озера, будни. Но что это? Повсюду вдруг появились яркие афиши с приглашением в местный зоопарк, куда накануне завезли диковинного зверя — капибару. Только в назначенный день никакой карипары... бакирабы...пикарабы... ой, капибары... не оказалось. Куда пропал экзотический гость? Где его искать? За дело берутся одноклассники Марик и Алиса, в помощники им вызывается маленький сын участкового Славик. Только никто из этой троицы не знает, как выглядит загадочное животное... Итак, приключения начинаются!</t>
  </si>
  <si>
    <t>9785378346462</t>
  </si>
  <si>
    <t>9edbe475c4e70171a8ff988609eb7fe5</t>
  </si>
  <si>
    <t>150x204x7</t>
  </si>
  <si>
    <t>246472</t>
  </si>
  <si>
    <t>ДЕТСКИЙ ДЕТЕКТИВ 145x203. Кража в лыжной школе, 192стр</t>
  </si>
  <si>
    <t>978-5-378-35429-0</t>
  </si>
  <si>
    <t>Луиза и Ферди отправляются на каникулы в лыжную школу. Но в первую же ночь у Ферди, прошлогоднего чемпиона, пропадает одна лыжа. Как быть? Детективное агентство «Ф-Лу» берётся за дело! Под подозрением оказываются многие, а тут ещё сами сыщики ссорятся в пух и прах. И до соревнования остаются считанные дни. Удастся ли вернуть лыжу и при чём здесь огромный пингвин, разгуливающий ночью на лыжном склоне?</t>
  </si>
  <si>
    <t>9785378354290</t>
  </si>
  <si>
    <t>ea2356bb37d02420fa2fcb3d8c034e40</t>
  </si>
  <si>
    <t>146x204x17</t>
  </si>
  <si>
    <t>271669</t>
  </si>
  <si>
    <t>ДЕТСКИЙ ДЕТЕКТИВ 145x203. Кража с французским акцентом</t>
  </si>
  <si>
    <t>978-5-378-36014-7</t>
  </si>
  <si>
    <t>Во время фестиваля народного творчества из Городецкого краеведческого музея пропала старинная пряничная доска. Первой об этом узнаёт Марица Романова — журналистка местного молодёжного паблика. Она выкладывает короткий ролик, который быстро становится вирусным. В провинциальный городок съезжаются региональные новостийщики. Но быть всего лишь поставщиком громкого информационного повода для старших коллег Марице недостаточно. К тому же девочка уверена, что видела преступника. Похоже, пришло время ей и её друзьям примерить роли настоящих детективов.</t>
  </si>
  <si>
    <t>9785378360147</t>
  </si>
  <si>
    <t>Сулейманова Татьяна</t>
  </si>
  <si>
    <t>75a26f5baa71116b079cc283f7f55633</t>
  </si>
  <si>
    <t>145х203х16</t>
  </si>
  <si>
    <t>253347</t>
  </si>
  <si>
    <t>ДЕТСКИЙ ДЕТЕКТИВ 145x203. Первоклассное похищение, или Тайна школьного шкафа</t>
  </si>
  <si>
    <t>978-5-378-35570-9</t>
  </si>
  <si>
    <t>Загадочное происшествие в первом «А». Женька Шилов и Мишка Смирнов замечают, что с уроков внезапно пропал их друг. Всё ясно: Сашку Доброва похитили!</t>
  </si>
  <si>
    <t>9785378355709</t>
  </si>
  <si>
    <t>ef899b34cf13018cf9702edfd704792b</t>
  </si>
  <si>
    <t>144х204х8</t>
  </si>
  <si>
    <t>256221</t>
  </si>
  <si>
    <t>ДЕТСКИЙ ДЕТЕКТИВ 145x203. Тайна пропавшего пианино</t>
  </si>
  <si>
    <t>978-5-378-35624-9</t>
  </si>
  <si>
    <t>Однажды в актовом зале школы номер 58 при загадочных обстоятельствах пропало старинное пианино. Что же делать? Можно поручить расследование экспериментальной пятёрке пятиклассников. И это будет правильное решение. Ребята смогут определить номер машины, зашифрованный в стихотворении, вычислят фамилию преподавателя по фальшивому звучанию нот и догадаются, что на вора указывает белый клён.</t>
  </si>
  <si>
    <t>9785378356249</t>
  </si>
  <si>
    <t>Лаптёнок Екатерина</t>
  </si>
  <si>
    <t>59fa2e389645df49b67c589822f68095</t>
  </si>
  <si>
    <t>246473</t>
  </si>
  <si>
    <t>ДЕТСКИЙ ДЕТЕКТИВ 145x203. Тайна фрака Борьки Березкина</t>
  </si>
  <si>
    <t>978-5-378-35428-3</t>
  </si>
  <si>
    <t>Триумф, который должен был ознаменовать актёрский дебют школьника Бориса Берёзкина, не состоялся. Недоумение учителей и смех одноклассников заполнили актовый зал, едва герой вышел на сцену. Чёрный, как сажа, фрак на «повелителе чистоты и порядка»? Вот это оплошность! Но ведь костюм должен быть белым! Мальчик сам сшил себе его для этой роли. Когда он переодевался перед
спектаклем, неожиданно погас свет — обнаружить подмену и предотвратить позор не было никакой возможности. Всё ясно: Борьку подставили! Но кто преступник? Чтобы докопаться до истины, школьник проведёт настоящее расследование, итог которого станет неожиданным для всех посвящённых в это запутанное дело.</t>
  </si>
  <si>
    <t>9785378354283</t>
  </si>
  <si>
    <t>Леонтьева Лилианна</t>
  </si>
  <si>
    <t>135f4b95ac0041b9c832a73401fdd6f8</t>
  </si>
  <si>
    <t>223829</t>
  </si>
  <si>
    <t>ДЕТСКИЙ ДЕТЕКТИВ 150x204. Дело об опустевшем гнезде</t>
  </si>
  <si>
    <t>978-5-378-34670-7</t>
  </si>
  <si>
    <t>КАР-Р-РАУЛ ! УКАР-Р-РЛИ! Да-да, вы не ослышались! В благополучный, залитый солнцем и полуденной негой лес негаданно пришла беда. У несчастной вороны из гнезда украли яйца, её невылупившихся птенчиков. Под подозрением... все: сорока, дятел, галка, кукушка! Но кто настоящий злодей? И зачем ему воронье потомство? Найти преступника и пропажу вызывается профессионал сыска, летучий мышонок Кишмиш, а также его сухопутный сородич Пип. И детективы, кажется, уже взяли след...</t>
  </si>
  <si>
    <t>9785378346707</t>
  </si>
  <si>
    <t>fb41a0490043c444e6c14bb514614409</t>
  </si>
  <si>
    <t>150х204х7</t>
  </si>
  <si>
    <t>СЕРИЯ: ДЕТСКИЙ ДЕТЕКТИВ С КОМИКСОМ офсет 80гр, мат.ламин. тиснение 145х203</t>
  </si>
  <si>
    <t>258291</t>
  </si>
  <si>
    <t>ДЕТСКИЙ ДЕТЕКТИВ С КОМИКСОМ. Светка Королёва и три мушкетёра. Мыс рока</t>
  </si>
  <si>
    <t>978-5-378-35657-7</t>
  </si>
  <si>
    <t>В детском лагере «Чайка» на черноморском побережье приключения обеспечены даже в межсезонье. Платон Сомов, прибывший в короткую смену вместе со своей спортшколой, случайно обнаружил в роще неизвестного зверька. Но откуда он взялся и что с ним теперь делать? Похоже, без помощи друзей, с которыми он отдыхал здесь летом, не обойтись. Светке Королёвой и её мушкетёрам вновь предстоит непростое дело. Чтобы его распутать, ребятам придётся продумывать шаги наперёд, хитрить и... рисковать жизнью.</t>
  </si>
  <si>
    <t>9785378356577</t>
  </si>
  <si>
    <t>Хотеева Анна</t>
  </si>
  <si>
    <t>700957a3ae3691f8bd494587a44e34d6</t>
  </si>
  <si>
    <t>145x203x12</t>
  </si>
  <si>
    <t>265807</t>
  </si>
  <si>
    <t>ДЕТСКИЙ ДЕТЕКТИВ С КОМИКСОМ. Светка Королёва и три мушкетёра. Призрак старого маяка</t>
  </si>
  <si>
    <t>978-5-378-35893-9</t>
  </si>
  <si>
    <t>Детский лагерь «Чайка», недавно возобновивший работу после долгих лет запустения, опять под угрозой закрытия. Лакомый кусочек земли на черноморском побережье не даёт покоя известному воротиле бизнеса, который желает построить здесь очередной отель. В этом сезоне Борис Рубцов добился запрета на купание, что, по его задумке, должно вынудить детей вернуться домой раньше срока и оставить разгромные отзывы. Чтобы спасти репутацию «Чайки» (или просто от вселенской скуки), Алик Виноградов предлагает завести канал о жизни лагеря. Но где взять взрывной контент? Наудачу неожиданно возникает «призрак» на маяке... На этот раз Света Королёва и её мушкетёры раскроют одну из загадок морской истории.</t>
  </si>
  <si>
    <t>9785378358939</t>
  </si>
  <si>
    <t>4e5b13f4dccf052e7eaebc1cbcd2f1c3</t>
  </si>
  <si>
    <t>249512</t>
  </si>
  <si>
    <t>ДЕТСКИЙ ДЕТЕКТИВ С КОМИКСОМ. Светка Королёва и три мушкетёра. Проклятое место</t>
  </si>
  <si>
    <t>978-5-378-35484-9</t>
  </si>
  <si>
    <t>Бывший пионерский лагерь «Чайка» на черноморском побережье после долгих лет запустения представляет собой совершенно унылое зрелище, но новый директор полон решимости его возродить. Несмотря на то, что в первую смену удаётся привлечь не так
много ребят, скучать им точно не придётся. Светке Королёвой и троим её друзьям предстоит вычислить преступников, которые похитили золотые украшения скифов, обнаруженные археологами недалеко от лагеря.</t>
  </si>
  <si>
    <t>9785378354849</t>
  </si>
  <si>
    <t>188d24825c29f7a11ddeabd2f8062cf5</t>
  </si>
  <si>
    <t>СЕРИЯ: ДЕТСКИЙ КУЛИНАРНЫЙ ДЕТЕКТИВ офсет 100гр, глянц.ламин 145х203</t>
  </si>
  <si>
    <t>261442</t>
  </si>
  <si>
    <t>ДЕТСКИЙ КУЛИНАРНЫЙ ДЕТЕКТИВ. Секретный ингредиент бабушкиных эклеров</t>
  </si>
  <si>
    <t>978-5-378-35770-3</t>
  </si>
  <si>
    <t>Бабушкины эклеры всегда необыкновенно вкусные, а ещё... волшебные. Откусив хотя бы маленький кусочек, люди перестают хмуриться, ругаться, жаловаться. Вмиг забывают о болезнях и неприятностях. Без сомнения, всё дело в секретном ингредиенте, который бережно хранится в старой жестяной банке, для надёжности запертой в деревянной шкатулке. Всего маленькая щепотка – и быть чудесам! Но однажды, после дня рождения внука Валентина, шкатулка пропала. Есть главный подозреваемый, но, по правилам расследования, нужно проверить всех гостей...</t>
  </si>
  <si>
    <t>9785378357703</t>
  </si>
  <si>
    <t>b6b26ff62b9d642c0f3ab76fde6c34dc</t>
  </si>
  <si>
    <t>143х203х12</t>
  </si>
  <si>
    <t>СЕРИЯ: ДЕТСКИЙ СКАЗОЧНЫЙ ДЕТЕКТИВ офсет 100гр, глянц.ламин 145х203</t>
  </si>
  <si>
    <t>261433</t>
  </si>
  <si>
    <t>ДЕТСКИЙ СКАЗОЧНЫЙ ДЕТЕКТИВ. Дело №1. Кот без сапог</t>
  </si>
  <si>
    <t>978-5-378-35774-1</t>
  </si>
  <si>
    <t>Далеко-далеко, среди книжных страниц затерялся волшебный вход в необыкновенную страну Чудляндию. Именно там живут любимые герои сказок, у которых вечно что-нибудь случается. И, представьте себе, в удивительной Чудляндии нет своих сыщиков. А именно сегодня у Кота в сапогах кто-то украл самое ценное — сапоги! Караул! Безобразие! Спасите-помогите! И кто же отыщет пропажу, кто спасёт сказку? Конечно, Лёля и Коля, которые любят читать, умеют отгадывать загадки и обожают распутывать сложные головоломки.
Весёлая интерактивная история для поклонников детских детективов и любителей интересных развивающих заданий. Отправляйтесь в Чудляндию — скучно не будет!</t>
  </si>
  <si>
    <t>9785378357741</t>
  </si>
  <si>
    <t>b75bb6b0094da2128cd828b6575398d1</t>
  </si>
  <si>
    <t>144х202х6</t>
  </si>
  <si>
    <t>261434</t>
  </si>
  <si>
    <t>ДЕТСКИЙ СКАЗОЧНЫЙ ДЕТЕКТИВ. Дело №2. Исчезновение метлы</t>
  </si>
  <si>
    <t>978-5-378-35775-8</t>
  </si>
  <si>
    <t>Юных сыщиков Лёлю и Колю ждёт новое необыкновенное приключение в волшебной Чудляндии — стране оживших сказок. У вредной Бабы-яги пропала метла, а без метлы никак нельзя — беда будет! В этом запутанном деле замешаны обиженная Кикимора, огнедышащий Змей Горыныч и ужасный Кощей. Интерактивный детектив с настоящим лабиринтом, драгоценной головоломкой и магическим пазлом. Только пройдя этот сказочный квест вместе с маленькими сыщиками, вы сможете отыскать пропажу и узнаете, смогли ли Лёля и Коля вернуться домой. Вперёд, через таинственный лес, по шляпкам мухоморов, верхом на крылатом лифте — к разгадке новой тайны!</t>
  </si>
  <si>
    <t>9785378357758</t>
  </si>
  <si>
    <t>fbd25034bc857b1f27895c6246bfd471</t>
  </si>
  <si>
    <t>264361</t>
  </si>
  <si>
    <t>ДЕТСКИЙ СКАЗОЧНЫЙ ДЕТЕКТИВ. Дело №3. Загадочное похищение</t>
  </si>
  <si>
    <t>978-5-378-35851-9</t>
  </si>
  <si>
    <t>Караул! Пропала Дюймовочка! Под подозрением все: волк, жаба с кротом и даже гномы. Кто же из них настоящий похититель? Получится ли вернуть пропажу, или её уже кто-то съел? Новое, уморительно смешное и увлекательно невероятное расследование Лёли и Коли в сказочной Чудляндии. Участвуй в интерактивном детективе, попробуй разгадать ребус от Зубной феи и волшебные загадки, разберись в уликах вместе с маленькими сыщиками и помоги распутать все тайны. Чудляндия ждёт — открывай книгу и отправляйся в новое приключение!</t>
  </si>
  <si>
    <t>9785378358519</t>
  </si>
  <si>
    <t>cbc77e3aacb1cfb97f2348ea612aa1e2</t>
  </si>
  <si>
    <t>264362</t>
  </si>
  <si>
    <t>ДЕТСКИЙ СКАЗОЧНЫЙ ДЕТЕКТИВ. Дело №4. Помогите! Караул!</t>
  </si>
  <si>
    <t>978-5-378-35852-6</t>
  </si>
  <si>
    <t>У сказочных детективов новое дело — в семье медведей пропал Мишутка. Сбежал! А по дороге прихватил у Бабы-яги одну волшебную вещь. Какую? А вот секрет! Спасут ли маленькие сыщики косолапого потеряшку? При чём тут гуси-лебеди и Конёк-горбунок? Какие улики скрывают три поросёнка? Интерактивная сказка-детектив с развивающими заданиями и забавным сюжетом для любителей загадок и головоломок. Увлекательное приключение с любимыми сказочными персонажами — скорее вперёд, к разгадке тайны!</t>
  </si>
  <si>
    <t>9785378358526</t>
  </si>
  <si>
    <t>1be0d2eea66f3d15dd4e8b0c58b6c2d6</t>
  </si>
  <si>
    <t>СЕРИЯ: МИСТИЧЕСКИЙ ДЕТСКИЙ ДЕТЕКТИВ офсет 80гр, глянц.ламин. 145х203</t>
  </si>
  <si>
    <t>248060</t>
  </si>
  <si>
    <t>МИСТИЧЕСКИЙ ДЕТСКИЙ ДЕТЕКТИВ. Чёрные нити, или Тайна подземного перехода</t>
  </si>
  <si>
    <t>978-5-378-35440-5</t>
  </si>
  <si>
    <t>Это взрослые считают, что поездка на море — верх блаженства. А если ты едешь в скучный санаторий в окрестностях сочи с бабушкой, как Кира? Или торчишь в номере из-за ссоры с отцом, как Матвей? Но всё меняется, когда дети знакомятся с огромным лохматым псом и загадочной девушкой в старинном платье: дверь в другой мир, драконы, роскошные фруктовые сады и суровые воины из позапрошлого века сделают эти каникулы незабываемыми! Вот только смогут ли обычные мальчик и девочка распутать магические чёрные нити и вернуться домой?</t>
  </si>
  <si>
    <t>9785378354405</t>
  </si>
  <si>
    <t>c531f4ecfae99abbb41f25774f509cad</t>
  </si>
  <si>
    <t>145х204х10</t>
  </si>
  <si>
    <t>СЕРИЯ: МОЙ ПЕРВЫЙ ДЕТСКИЙ ДЕТЕКТИВ офсет 80гр, глянц.ламин 145х203</t>
  </si>
  <si>
    <t>270080</t>
  </si>
  <si>
    <t>МОЙ ПЕРВЫЙ ДЕТСКИЙ ДЕТЕКТИВ. Детектив Гусинка и лесной секрет</t>
  </si>
  <si>
    <t>978-5-378-35988-2</t>
  </si>
  <si>
    <t>Гусинка Груша мечтает стать напарницей детектива дятла Дуболома и расследовать запутанные преступления. Она ищет способ доказать, на что способна. На её удачу объявляется паук Эриксон, который утверждает, что у его подруги Ёлочки украли... стихотворение. Гусинка берётся за это странное дело. Но как можно похитить то, что нельзя потрогать?</t>
  </si>
  <si>
    <t>9785378359882</t>
  </si>
  <si>
    <t>3e4777402a9bf344a712eb64a48c2d95</t>
  </si>
  <si>
    <t>145х203х6</t>
  </si>
  <si>
    <t>ДЕТСКИЕ СТРАШИЛКИ</t>
  </si>
  <si>
    <t>СЕРИЯ: ДЕТСКИЕ СТРАШИЛКИ глянц.ламин, офсет, 203х257</t>
  </si>
  <si>
    <t>258289</t>
  </si>
  <si>
    <t>ДЕТСКИЕ СТРАШИЛКИ. Очень ж-ж-жуткое путешествие. Пять дорожных страшилок</t>
  </si>
  <si>
    <t>978-5-378-35670-6</t>
  </si>
  <si>
    <t>По дороге на школьную экскурсию можно спать или глазеть в окно автобуса. Но лучше рассказывать страшилки! Ребята из 3 «А» решили проверить, у кого крепче нервы. Откуда взялась училка-зомби? Кто прячется в длинном тёмном коридоре поликлиники? Когда приходит оборотень в подгузнике? Что случилось с челюстью детского стоматолога? Как не попасть в трамвай из потустороннего мира? В этой книге пять ж-ж-жутких историй для тех, кто не хочет скучать в пути.</t>
  </si>
  <si>
    <t>9785378356706</t>
  </si>
  <si>
    <t>0f4ca79ff4f8208ed03c49be381be4c3</t>
  </si>
  <si>
    <t>203х253х8</t>
  </si>
  <si>
    <t>СЕРИЯ: ДЕТСКИЕ УЖАСТИКИ КБС мат.ламин, выб.лак 165х212</t>
  </si>
  <si>
    <t>258273</t>
  </si>
  <si>
    <t>ДЕТСКИЕ УЖАСТИКИ КБС. САМЫЕ ЖУТКИЕ СТРАШИЛКИ</t>
  </si>
  <si>
    <t xml:space="preserve">978-5-378-35680-5 </t>
  </si>
  <si>
    <t>В этот ужжжасный сборник вошли шокирующие и интригующие рассказы от К. Хотимченко и Е. Яшиной — современных молодёжных писателей. Сначала вы отправитесь в летний лагерь — прогулки на свежем воздухе, зарядка, вкусная еда, новые друзья… Только почему-то этот лагерь зовут жутким… А затем предлагаем вам познакомиться с говорящей куклой, мальчиком-призраком, милой вампиршей и другими интересными персонажами. Будет интересно, точно-точно!</t>
  </si>
  <si>
    <t>9785378356805</t>
  </si>
  <si>
    <t>Яшина Екатерина,Хотимченко Константин Анатольевич</t>
  </si>
  <si>
    <t>7486de088abbe45265457c25f955b7ef</t>
  </si>
  <si>
    <t>выборочный лак</t>
  </si>
  <si>
    <t>165х210х12</t>
  </si>
  <si>
    <t>243739</t>
  </si>
  <si>
    <t>ДЕТСКИЕ УЖАСТИКИ КБС. САМЫЕ СТРАШНЫЕ УЖАСТИКИ</t>
  </si>
  <si>
    <t>978-5-378-35327-9</t>
  </si>
  <si>
    <t xml:space="preserve">Сборник включил в себя рассказы двух классных авторов, которые очень любят пугать, шокировать, удивлять и всячески мурашить юных читателей. Что вас ждёт: интригующие истории с неожиданным финалом, острые ощущения, семейные тайны, тихая ночь на ферме и многое другое. Скорее открывайте страшно красивую обложку,
внутри много интересного! </t>
  </si>
  <si>
    <t>9785378353279</t>
  </si>
  <si>
    <t>Егоров Александр, Яшина Екатерина</t>
  </si>
  <si>
    <t>52cffe9f52e57b11bcd55c6b9d505b92</t>
  </si>
  <si>
    <t xml:space="preserve">СЕРИЯ: ДЕТСКИЕ УЖАСТИКИ офсет, глянц.ламин. </t>
  </si>
  <si>
    <t>229435</t>
  </si>
  <si>
    <t>ДЕТСКИЕ УЖАСТИКИ. ВСЕМ СПАТЬ. СТРАШНЫХ СНОВ</t>
  </si>
  <si>
    <t>978-5-378-34753-7</t>
  </si>
  <si>
    <t>В книгу вошли пять жутковатых и леденящих душу историй –
специально для юных душ, ищущих острых ощущений. По-новому для вас заиграет история Синей Бороды. Вы узнаете, какими иногда могут оказаться милые бабушки. Получите чёткую инструкцию, как стать неузнаваемым для всех. А также вспомните историю и ненадолго окунётесь в жизнь интересной семьи, хранящей тайну одного рождения. Рекомендуется читать под одеялом с фонариком и обязательно мурашиться!</t>
  </si>
  <si>
    <t>9785378347537</t>
  </si>
  <si>
    <t>Егоров Александр</t>
  </si>
  <si>
    <t>e6166cdf465d7637bc035c2b0e76e346</t>
  </si>
  <si>
    <t>153x218x8</t>
  </si>
  <si>
    <t>251723</t>
  </si>
  <si>
    <t>ДЕТСКИЕ УЖАСТИКИ. ЖУТКИЕ БАЙКИ ЛЕТНЕГО ЛАГЕРЯ</t>
  </si>
  <si>
    <t>978-5-378-35545-7</t>
  </si>
  <si>
    <t>Невозможно просто отдохнуть в летнем лагере и не привезти оттуда пару-тройку страшных историй! Вот и наши новые знакомые — Миша, Алёна, Ренат и Оля — в первую же ночь их лагерной смены решили пощекотать нервы жуткими байками, скрывшись от вожатых в старом сарае. Пять страшилок, рассказанных в сарае, и закончившиеся в фонариках батарейки сделали своё дело — друзья сполна «насладились» мурашками, таинственными ночными звуками за стенами хлипкой постройки и выволочкой от застукавшего их вожатого. С приходом нового дня настала обычная лагерная жизнь с зарядками и обедом по расписанию. Если бы не одно «но»: где та девочка, что рассказала пятую историю?..</t>
  </si>
  <si>
    <t>9785378355457</t>
  </si>
  <si>
    <t>Яшина Екатерина</t>
  </si>
  <si>
    <t>3a71794fdc7c619b11693b31d0f2c74e</t>
  </si>
  <si>
    <t>263124</t>
  </si>
  <si>
    <t>ДЕТСКИЕ УЖАСТИКИ. КОШКИН ДОМ</t>
  </si>
  <si>
    <t>978-5-378-35799-4</t>
  </si>
  <si>
    <t>Когда подросток проводит каникулы в деревне у бабушки с флейтой в обнимку, это навевает тоску, не так ли? Но в нашей деревне что-то пошло не так, и летний отдых обернулся для Анатолия сущим кошмаром, скучать точно никому не пришлось. История о первой симпатии, обернувшейся трагедией. О милых кошках, в телах которых живут совсем не кошки. О колдовстве, обиде, поглощающем страхе и… дружбе или возмездии? Почитаем — узнаем!</t>
  </si>
  <si>
    <t>9785378357994</t>
  </si>
  <si>
    <t>Зимова Анна Сергеевна</t>
  </si>
  <si>
    <t>683e7d6fc9960cff360c24c452ae93e8</t>
  </si>
  <si>
    <t>170х221х10</t>
  </si>
  <si>
    <t>267381</t>
  </si>
  <si>
    <t>ДЕТСКИЕ УЖАСТИКИ. КОШМАРЫ ИЗ НЕЙРОСЕТИ</t>
  </si>
  <si>
    <t>978-5-378-35916-5</t>
  </si>
  <si>
    <t>Искусственный интеллект способен сильно облегчить жизнь, и это так круто — уметь управлять им и использовать в своих целях. А что, если однажды ИИ выйдет из-под контроля? В книге мы собрали несколько историй о том, как нейросети способны внедриться в жизнь и немного её изменить. Наши герои на собственных примерах узнали, что, прежде всего, нужно подумать головой, а потом уже что-то сгенерировать, и поняли, что за каждый поступок придётся нести ответственность. Читайте и помните: в каждой шутке всегда есть лишь доля шутки…</t>
  </si>
  <si>
    <t>9785378359165</t>
  </si>
  <si>
    <t>56ef9e19d3924b49c5cf6267f94f83ae</t>
  </si>
  <si>
    <t>246457</t>
  </si>
  <si>
    <t>ДЕТСКИЕ УЖАСТИКИ. МУЗЕЙ ИГРУШЕК ДОКТОРА ШМИДТА</t>
  </si>
  <si>
    <t>978-5-378-35422-1</t>
  </si>
  <si>
    <t>Игрушки — добрые спутники каждого ребёнка, с ними не соскучишься! Но во что они могут превратиться, оказавшись в руках злого взрослого? И точно ли это игрушки — присмотритесь внимательнее… Маша — слишком гордая, по мнению одноклассников. У неё нет друзей, поэтому время она проводит с любимым котом и новой, очень необычной куклой. Нет, с виду кукла самая обыкновенная, только есть один секрет. А какой — узнаете, прочитав книгу. Или не узнаете. Читать-то страшно!</t>
  </si>
  <si>
    <t>9785378354221</t>
  </si>
  <si>
    <t>b2c202eca2e8214105094420be80e713</t>
  </si>
  <si>
    <t>230327</t>
  </si>
  <si>
    <t>ДЕТСКИЕ УЖАСТИКИ. НА НОЧЬ НЕ ЧИТАТЬ!</t>
  </si>
  <si>
    <t>978-5-378-34813-8</t>
  </si>
  <si>
    <t>Любите ли вы книги настолько, что готовы стать очередной главой одной из них? «Чёртова книга» не оставит вам времени для размышлений… Сборник ужастиков «На ночь не читать!» включает три рассказа. Помимо знакомства с «Чёртовой книгой» вы побываете в необычной и жутковатой лавке антиквара, а также проведёте время в тихом месте на ферме. Правда, не факт, что сможете оттуда вернуться. Автор книги — Екатерина Яшина — журналист и писатель. Жанр ужастиков любит с детства, а ещё обожает заброшенные здания — они вдохновляют на идеи новых страшилок для детей.</t>
  </si>
  <si>
    <t>9785378348138</t>
  </si>
  <si>
    <t>f40369d240fa15b86d70aae7c3e9be17</t>
  </si>
  <si>
    <t>170х220x8</t>
  </si>
  <si>
    <t>233197</t>
  </si>
  <si>
    <t>ДЕТСКИЕ УЖАСТИКИ. НЕ СМОТРИ В ГЛАЗОК</t>
  </si>
  <si>
    <t>978-5-378-34903-6</t>
  </si>
  <si>
    <t>В жизни очень важно, чтобы тебя кто-то понимал. Не поверите, но и в смерти тоже. Не медлите, открывайте книгу и скорее знакомьтесь с нашими героями — Тимом и Олегом! Обычные парни с разными интересами, которые никогда в жизни не стали бы друзьями или добрыми приятелями, если бы не одно но. Леденящая в прямом смысле слова история уже ждёт, когда вы её прочитаете! Автор книги — Анна Зимова — работает в самых разных жанрах, но признаётся, что побаивается сочинять ужастики. Потому что «напугать читателя в сто раз труднее, чем рассмешить». А вот за сюжетами далеко ходить не приходится. Иногда достаточно глянуть в дверной глазок в подходящий момент. Точнее, неподходящий...</t>
  </si>
  <si>
    <t>9785378349036</t>
  </si>
  <si>
    <t>c162944e9128abd14f45c256f4271b4c</t>
  </si>
  <si>
    <t>221024</t>
  </si>
  <si>
    <t>ДЕТСКИЕ УЖАСТИКИ. СТРРРАШНЫЕ РАССКАЗЫ</t>
  </si>
  <si>
    <t>978-5-378-34594-6</t>
  </si>
  <si>
    <t>Привет вам, любители пощекотать нервишки! Перед вами сборник из 13 коротких рассказов, которые могут и напугать, и рассмешить и заставить задуматься… Тут вас ждут вампиры и неприкаянные души, чёрные коты и таинственные пришельцы, истории про привидения и проклятые зеркала, притчи про исполнения желаний, страшилки про мёртвый космос и даже магические куклы. Набрались смелости? Тогда открывайте книгу! Бу!</t>
  </si>
  <si>
    <t>9785378345946</t>
  </si>
  <si>
    <t>0675642a374e9e09e1e3d3d1b35dd84c</t>
  </si>
  <si>
    <t>СЕРИЯ: СТРАШИЛКИ ДЛЯ ДЕТЕЙ офсет, 145х220</t>
  </si>
  <si>
    <t>208611</t>
  </si>
  <si>
    <t xml:space="preserve">13 СТРАШНЫХ ИСТОРИЙ мат.ламин. офсет </t>
  </si>
  <si>
    <t>978-5-378-34375-1</t>
  </si>
  <si>
    <t>Любишь пощекотать нервы? Тогда скорей открывай эту книгу - сборник жутких рассказов, от которых холодеют руки и бросает в дрожь! Со слов героев, все истории - чистая правда, но кто знает, может, страшилки - это небылицы ребят, которые соревнуются между собой в фантазии и выдумке?</t>
  </si>
  <si>
    <t>9785378343751</t>
  </si>
  <si>
    <t>Назарова Лариса Геннадьевна,Григорьев Константин</t>
  </si>
  <si>
    <t>e5e0c7eca3eec77adcb11d3b3a3e4c6c</t>
  </si>
  <si>
    <t>245127</t>
  </si>
  <si>
    <t>ЕДВА НАСТУПИТ НОЧЬ глянц.ламин, офсет</t>
  </si>
  <si>
    <t>978-5-378-35330-9</t>
  </si>
  <si>
    <t>Пятеро друзей решают проверить байку о таинственной ведьме, проживающей в их городке, заказав у неё волшебный пирог. Шутка кажется друзьям совершенно безобидной, но всё изменится, едва наступит ночь…</t>
  </si>
  <si>
    <t>9785378353309</t>
  </si>
  <si>
    <t>ffaa5e5f59d725c95f3559209a7f6d4c</t>
  </si>
  <si>
    <t>145x205x11</t>
  </si>
  <si>
    <t>251806</t>
  </si>
  <si>
    <t>ЛУЧШИЕ СТРАШНЫЕ ИСТОРИИ ДЛЯ ДЕТЕЙ глянц.ламин, офсет</t>
  </si>
  <si>
    <t>978-5-378-35550-1</t>
  </si>
  <si>
    <t>Хочешь проверить характер и нервы на прочность? Скорей открывай эту книгу - сборник жутких историй, подслушанных в больнице, городском дворе и мрачной заброшке в лесу.</t>
  </si>
  <si>
    <t>9785378355501</t>
  </si>
  <si>
    <t>a74756eb95b1a5b407856069a7757036</t>
  </si>
  <si>
    <t>145x203x20</t>
  </si>
  <si>
    <t>КНИГИ ДЛЯ ПОДРОСТКОВ глянц.ламин, офсет 145х203</t>
  </si>
  <si>
    <t>256215</t>
  </si>
  <si>
    <t>ГОРОД, КОТОРЫЙ ОБНИМАЕТ РЕКА глянц.ламин, офсет 145х203</t>
  </si>
  <si>
    <t>978-5-378-35629-4</t>
  </si>
  <si>
    <t>Решайся: где твой берег? После смерти мамы и бабушки шестнадцатилетняя Соня вынуждена переехать из Москвы в Быстроводск к отцу и мачехе. В маленьком городке, отрезанном от внешнего мира рекой, творится что-то странное. Старинные легенды и пророческие портреты, загадочная гостья из прошлого и местная ясновидящая... Кажется, здесь всё пропитано мистикой. Но порой бояться стоит не сверхъестественных сил, а обычного человека, живущего по соседству. Девушку терзают плохие предчувствия, появляются вещие сны и видения… Сбежать обратно в большой город, где всё просто и понятно, или остаться здесь и помочь тем, кто так нуждается в её помощи? Как не сойти с ума и сделать правильный выбор?</t>
  </si>
  <si>
    <t>9785378356294</t>
  </si>
  <si>
    <t>Бычкова Юлия</t>
  </si>
  <si>
    <t>4fbf7198c99b8bb38d211c347df7a384</t>
  </si>
  <si>
    <t>145х203х24</t>
  </si>
  <si>
    <t>248097</t>
  </si>
  <si>
    <t>ДОМ В ТУМАНЕ глянц.ламин, офсет 145х203</t>
  </si>
  <si>
    <t>978-5-378-35435-1</t>
  </si>
  <si>
    <t>Туманной ночью на болоте за неспешной Кряквиной из трясины рождается чёрный от сырости дом. От окна к окну переплывает тусклый огонёк, будто там кто-то бродит и наблюдает за живыми, засидевшимися на берегу реки. Одних манит, других отвращает... Но это не имеет значения: следующая жертва уже выбрана, и ей не удастся избежать своего пути через трясину...</t>
  </si>
  <si>
    <t>9785378354351</t>
  </si>
  <si>
    <t>Мельникова Мария Александровна</t>
  </si>
  <si>
    <t>b92de9f147ece3afc573d53bfb8b8c43</t>
  </si>
  <si>
    <t>251782</t>
  </si>
  <si>
    <t>ИГРОМАГИЯ. ПАРТИЯ ДЖОКЕРА глянц.ламин, офсет 145х203</t>
  </si>
  <si>
    <t>978-5-378-35542-6</t>
  </si>
  <si>
    <t>«Меня зовут Кир. Мне пятнадцать лет, и у меня непростые отношения с отцом. Обычная история, если бы не то, во что она вылилась. Когда я оказался на первом острове, думал, что угодил в реалити-шоу. Куда там! Теперь я точно знаю: мир, в котором мы живём, не единственный на нашей планете. И он создан не для того, чтобы помогать и поддерживать. Порой даже объявляются люди, готовые уничтожить тебя. Я бы мог заблудиться и навсегда застрять в одном из миров, если бы не мой друг. И да — она не совсем человек». Эта книга о детях, которые рано повзрослели, о родителях, которые не выросли, о том, что всё не настолько очевидно, как представляется на первый взгляд. Кем окажутся те, кто меняет своё обличие, словно джокер? Сможет ли герой противостоять тем, кто втянул его в опасную игру?</t>
  </si>
  <si>
    <t>9785378355426</t>
  </si>
  <si>
    <t>Косолапкина Надежда Сергеевна,Макаренко Елена Викторовна</t>
  </si>
  <si>
    <t>bb7d4866774a23a05a8e9c188b7e0149</t>
  </si>
  <si>
    <t>248096</t>
  </si>
  <si>
    <t>ИСЧЕЗАЮЩИЕ глянц.ламин, офсет 145х203</t>
  </si>
  <si>
    <t>978-5-378-35438-2</t>
  </si>
  <si>
    <t>Они пропадали из школы один за другим, будто испарялись в напряжённом, искрящемся от волнения воздухе, преодолевая все преграды. На парте оставались учебники, тетради, пеналы. В брошенных рюкзаках – телефоны. В раздевалке – одежда. Подростки уходили в промозглую осень, не оглядываясь, налегке, не взяв с собой ничего из прежней жизни. Не задумываясь о том, что выйдя за обережный круг привычных маршрутов, становятся лёгкой добычей...</t>
  </si>
  <si>
    <t>9785378354382</t>
  </si>
  <si>
    <t>c7c17cf183e381c60b82d0126052caa6</t>
  </si>
  <si>
    <t>268551</t>
  </si>
  <si>
    <t>НЕВЕСОМАЯ глянц.ламин, офсет 145х203</t>
  </si>
  <si>
    <t>978-5-378-35958-5</t>
  </si>
  <si>
    <t>Пятнадцатилетняя Аля из провинциального городка получает приглашение в элитную Академию балета. Это сказка, мечта, сон... Или кошмар? Академия полна сквозняков, скрипов, тайн и странных правил, которые ни в коем случае нельзя нарушать. Иначе придётся иметь дело с чем-то пострашнее учительского гнева.</t>
  </si>
  <si>
    <t>9785378359585</t>
  </si>
  <si>
    <t>Онищенко Полина</t>
  </si>
  <si>
    <t>d3b1c5b69caae58c5eaee7d56d809b12</t>
  </si>
  <si>
    <t>145х203х23</t>
  </si>
  <si>
    <t>270075</t>
  </si>
  <si>
    <t>НЕЖНОЕ ЛЕТО ПЕРВОЙ ЛЮБВИ глянц.ламин, офсет 145х203</t>
  </si>
  <si>
    <t>978-5-378-35989-9</t>
  </si>
  <si>
    <t>Лера только что окончила школу, но печальное событие заставляет её пропустить выпускной и уехать в деревню спасать бабушку от тоски.
Однако скучать девушке не придётся, ведь впереди ждёт встреча с другом детства, первые чувства и первые разочарования, семейные секреты, а ещё забавные и опасные приключения. Что принесёт это лето с шумом пшеничных колосьев, ароматом французских булок и вкусом дикой лесной смородины?</t>
  </si>
  <si>
    <t>9785378359899</t>
  </si>
  <si>
    <t>Крынкина Наталья</t>
  </si>
  <si>
    <t>95597a0c9a1f15bc59a7ac04a3282189</t>
  </si>
  <si>
    <t>145х203х22</t>
  </si>
  <si>
    <t>265805</t>
  </si>
  <si>
    <t>ПРИТЯЖЕНИЕ ЛЬДА глянц.ламин, офсет 145х203</t>
  </si>
  <si>
    <t>978-5-378-35905-9</t>
  </si>
  <si>
    <t>У них нет ничего общего, кроме льда. Она поклялась, что больше никогда не станет встречаться с хоккеистом, он решительно против фигуристок. Так уж вышло, что Тане и Тимуру придётся делать вид, что они вместе, притворяться, играть в любовь. Каждый думает, что этот розыгрыш ничего не значит, но нет ничего сильнее притяжения льда.</t>
  </si>
  <si>
    <t>9785378359059</t>
  </si>
  <si>
    <t>Иви Тару</t>
  </si>
  <si>
    <t>e5d4ae3f8f99c42986e31bedb1f6421f</t>
  </si>
  <si>
    <t>260222</t>
  </si>
  <si>
    <t>СОСЕДИ - КУКЛЫ глянц.ламин, офсет 145х203</t>
  </si>
  <si>
    <t>978-5-378-35707-9</t>
  </si>
  <si>
    <t>Заброшенная, почти пропавшая деревня старается жить как может... Свидетелями её тайны становятся пятеро друзей, зашедших туда по случаю. На картах отмечено, что Чернополье давно перестало существовать. Но это же не значит, что там совсем никто не живёт и нет магазина! Это страшное путешествие в мир, где совсем нет зла. Где древнюю легенду рассказывают как тайну, потому что она западает слишком глубоко в душу. Это история нескольких подростков, но ответ на их вопрос многие взрослые пытаются найти всю жизнь.</t>
  </si>
  <si>
    <t>9785378357079</t>
  </si>
  <si>
    <t>9e7ef88bf60e0aab3f9b910465130f14</t>
  </si>
  <si>
    <t>251781</t>
  </si>
  <si>
    <t>ТЕ, КОГО НЕТ глянц.ламин, офсет 145х203</t>
  </si>
  <si>
    <t>978-5-378-35563-1</t>
  </si>
  <si>
    <t>Что, если «избранность» — не самоцель? Что, если «избранный» — всего лишь объект жестокой охоты? Лике Тураевой семнадцать, и она умеет менять внешность. Нет, не так, как это делают артисты, гримируясь и вживаясь в роль, — Лика меняет личины. Пугающая забава едва не стоила ей здоровья в детстве, а в юношестве может забрать жизнь. Не только её, но и десятков таких же, как она, ведь жизнь каждого из них — клубок тайн и древних загадок. Прекрасно написанная приключенческая история, погружаясь в которую, вы не угадаете, по какому сценарию пойдёт сюжет на следующем головокружительном повороте. Верность и подлинная дружба против коварства и предательства, всепоглощающее чувство справедливости и любви — вот, что вы найдёте на страницах этой замечательной истории Иви Тару.</t>
  </si>
  <si>
    <t>9785378355631</t>
  </si>
  <si>
    <t>73d0105ed0233e652c0810bca60882a6</t>
  </si>
  <si>
    <t>145х203х30</t>
  </si>
  <si>
    <t>270085</t>
  </si>
  <si>
    <t>ФЕНИКС ДЛЯ ЛИЗЫ глянц.ламин, офсет 145х203</t>
  </si>
  <si>
    <t>978-5-378-35965-3</t>
  </si>
  <si>
    <t>Вы любите сюрпризы под Новый год? Надеетесь получить что-то эдакое? Ждёте? Лиза ждала! И получила незабываемый подарок! К сожалению, совсем не тот, что хотела. Академия верховой езды в её планы не то что не входила, Лиза даже не подозревала о существовании таких школ. И, конечно, будь её воля, не поехала бы туда ни под каким предлогом. Не подозревала Лиза и о грядущих переменах, справиться с которыми ей помогут Феникс, лучший конь академии, и новые друзья.</t>
  </si>
  <si>
    <t>9785378359653</t>
  </si>
  <si>
    <t>Антипина Анна</t>
  </si>
  <si>
    <t>8a89e89d48b15936d57e79053a6f19fa</t>
  </si>
  <si>
    <t>КНИГИ О ВЕЛИКОЙ ОТЕЧЕСТВЕННОЙ ВОЙНЕ глянц.ламин, офсет</t>
  </si>
  <si>
    <t>206378</t>
  </si>
  <si>
    <t>БЛОКАДНЫЙ ТАНЕЦ ЛЕНИНГРАДА глянц.ламин. офсет 143х218</t>
  </si>
  <si>
    <t>978-5-378-34313-3</t>
  </si>
  <si>
    <t>Блокада Ленинграда- одна из самых скорбных страниц в истории нашей страны. Почти 900 дней враг нещадно обстреливал окружённый город, лишив его продовольственного снабжения. Более миллиона людей погибли от пуль и осколков, голода и болезней. Их трагедия навеки будет жить в нашей памяти, став символом стойкости и героизма для всех поколений потомков... Эта художественная книга, в которой описаны реальные события, повествует о непростом пути юной ученицы хореографического училища. Даша наравне со взрослыми переживала тяготы блокады и терпела лишения. Но несмотря на ужасы войны и травмы, девочка пронесла любовь к танцу через всю жизнь и смогла осуществить заветную мечту - она стала балериной!</t>
  </si>
  <si>
    <t>9785378343133</t>
  </si>
  <si>
    <t>Сьюзи Литтл</t>
  </si>
  <si>
    <t>d90c17021b837d1179ded8329784fed8</t>
  </si>
  <si>
    <t>143х218х11</t>
  </si>
  <si>
    <t>251805</t>
  </si>
  <si>
    <t>ВЕЛИКАЯ ОТЕЧЕСТВЕННАЯ ВОЙНА (ПОВЕСТИ) глянц.ламин, 145х203</t>
  </si>
  <si>
    <t>978-5-378-35528-0</t>
  </si>
  <si>
    <t>В сборнике представлены три повести о людях, переживших самую кровопролитную войну в истории нашей страны, сумевших выстоять против могущественного врага и победить.</t>
  </si>
  <si>
    <t>9785378355280</t>
  </si>
  <si>
    <t>Сьюзи Литтл,Назарова Лариса Геннадьевна,Григорьев Константин</t>
  </si>
  <si>
    <t>1935c4235861fa24d2f1b74c09713de7</t>
  </si>
  <si>
    <t>143х203х9</t>
  </si>
  <si>
    <t>246430</t>
  </si>
  <si>
    <t>МЫ ПОБЕДИМ, ВЕРА!  глянц.ламин, 145х203</t>
  </si>
  <si>
    <t>978-5-378-35427-6</t>
  </si>
  <si>
    <t>Маленькая Вера проснулась от шума и беготни. Она слезла с постели, укрыла одеялом игрушечного зайца и вышла к столу, за которым сидел мрачный отец и самые старшие братья.  Мама достала из печи глиняный горшок, поставила на стол и всхлипнула. Девочка испугалась: что случилось?
– Война началась...
В основу повести Ларисы Назаровой легла подлинная история одной семьи, пережившей все тяготы войны и оккупации. Автор со слов своей бабушки, главной героини, щедро и точно делится с читателем неподдельным ужасом, болью, страхом за близких... и верой, что победа непременно будет за нами.</t>
  </si>
  <si>
    <t>9785378354276</t>
  </si>
  <si>
    <t>Назарова Лариса Геннадьевна</t>
  </si>
  <si>
    <t>4e308b31d9140f5e6850e73ffe696180</t>
  </si>
  <si>
    <t>246429</t>
  </si>
  <si>
    <t>Я УШЁЛ НА ВОЙНУ глянц.ламин, 145х203</t>
  </si>
  <si>
    <t>978-5-378-35426-9</t>
  </si>
  <si>
    <t>История, рассказанная в этой книге Константином Григорьевым, основана на реальных событиях. Образ юного танкиста, главного героя повести, был списан с родного дяди автора — Юрия Ивановича Ветрова. Совсем мальчишкой он оказался на фронте, принимал участие в Сталинградской битве, сражался под Курском, освобождал Будапешт и Прагу. Другой дядя писателя — Сергей Васильевич Локтев — стал прообразом умирающего от туберкулёза моряка. Юнга Северного флота, он в 1941 году напросился в экипаж торпедного катера. А зимой упал в ледяную воду, из-за чего всю войну тяжело проболел. Но дал слово, что доживёт до победы. И сдержал его. Лишь 9 мая 1945 года, прослушав объявление Левитана о безоговорочной капитуляции Германии, разрешил себе уйти. Железные были люди...</t>
  </si>
  <si>
    <t>9785378354269</t>
  </si>
  <si>
    <t>Григорьев Константин</t>
  </si>
  <si>
    <t>82f0ec9769e3e82ad2b9d96e18545a19</t>
  </si>
  <si>
    <t>КУЛИНАРНЫЕ КНИГИ ДЛЯ ДЕТЕЙ</t>
  </si>
  <si>
    <t>СЕРИЯ: КНИГА РЕЦЕПТОВ мат.ламин, выб.лак, 204х257</t>
  </si>
  <si>
    <t>251749</t>
  </si>
  <si>
    <t>КНИГА РЕЦЕПТОВ. КАК В КОРЕЙСКИХ ДОРАМАХ</t>
  </si>
  <si>
    <t>978-5-378-35546-4</t>
  </si>
  <si>
    <t>Любой поклонник Азии знает, сколько внимания уделяется еде в манге, аниме и дорамах: каждое блюдо представляет собой произведение искусства, пробуждая аппетит и желание повторить кулинарный шедевр. Приготовтесь погрузиться в мир азиатской гастрономии, открывая горизонты вкуса.</t>
  </si>
  <si>
    <t>9785378355464</t>
  </si>
  <si>
    <t>d82d8a5ea88d6102151fc198c2ecf1f3</t>
  </si>
  <si>
    <t>203x257x7</t>
  </si>
  <si>
    <t>251748</t>
  </si>
  <si>
    <t>КНИГА РЕЦЕПТОВ. КАК В ЯПОНСКОМ АНИМЕ</t>
  </si>
  <si>
    <t>978-5-378-35547-1</t>
  </si>
  <si>
    <t>9785378355471</t>
  </si>
  <si>
    <t>15dd28d42bd1f712d06dbe7eabedeb40</t>
  </si>
  <si>
    <t>ПОДАРОЧНЫЕ КНИГИ</t>
  </si>
  <si>
    <t>110591</t>
  </si>
  <si>
    <t>А.Волков. ВОЛШЕБНИК ИЗУМРУДНОГО ГОРОДА мат.ламин.,выбор.лак, тиснение 170х215</t>
  </si>
  <si>
    <t>978-5-378-29290-5</t>
  </si>
  <si>
    <t>Новая серия книг познакомит ребёнка со знаменитыми героями Александра Волкова - девочкой Элли, Страшилой, Дровосеком, Львом, волшебником Гудвином, история о которых увлечёт с первых страниц! Красочные иллюстрации позволят погрузиться в волшебную атмосферу Изумрудного города.</t>
  </si>
  <si>
    <t>9785378292905</t>
  </si>
  <si>
    <t>Волков Александр Мелентьевич</t>
  </si>
  <si>
    <t>038cee1d0b0f0d04bf718ce33d2a1f57</t>
  </si>
  <si>
    <t>170х215х20</t>
  </si>
  <si>
    <t>110592</t>
  </si>
  <si>
    <t>А.Волков. УРФИН ДЖЮС И ЕГО ДЕРЕВЯННЫЕ СОЛДАТЫ мат.ламин.,выбор.лак, тиснение 170х215</t>
  </si>
  <si>
    <t>978-5-378-29268-4</t>
  </si>
  <si>
    <t>9785378292684</t>
  </si>
  <si>
    <t>e6de3a7dfb35a00689825afab40e5c45</t>
  </si>
  <si>
    <t>131498</t>
  </si>
  <si>
    <t>АЙБОЛИТ, МОЙДОДЫР И ДРУГИЕ СКАЗКИ КОРНЕЯ ЧУКОВСКОГО мат.ламин, выбор.лак, офсет 203х257</t>
  </si>
  <si>
    <t>978-5-378-30198-0</t>
  </si>
  <si>
    <t>В этом сборнике вас ждут самые известные произведения прекрасного сказочника — дедушки Корнея Чуковского: «Айболит», «Мойдодыр», «Муха-Цокотуха», «Тараканище» и другие. Взрослые с удовольствием перечитают знакомые с детства сказки в стихах, а малыши будут рады впервые с ними познакомиться.</t>
  </si>
  <si>
    <t>9785378301980</t>
  </si>
  <si>
    <t>63b70361082d44b1b62827580a6fa03c</t>
  </si>
  <si>
    <t>203х257х12</t>
  </si>
  <si>
    <t>156748</t>
  </si>
  <si>
    <t>БЕЛОСНЕЖКА И СЕМЬ ГНОМОВ глянц.ламин, тиснение, офсет 200х240</t>
  </si>
  <si>
    <t>978-5-378-31357-0</t>
  </si>
  <si>
    <t>В новой подарочной книге «Белоснежка и семь гномов» продумана каждая деталь для того, чтобы погрузить читателя в сказочную атмосферу. Волшебная переливающаяся на свету обложка завораживает и приглашает к знакомству со сказкой. Иллюстрации, нарисованные в европейском стиле, наполнены интересными деталями и радуют глаз насыщенностью и яркостью. В книге представлена полная версия сказки Братьев Гримм в переводе П. Полевого.</t>
  </si>
  <si>
    <t>9785378313570</t>
  </si>
  <si>
    <t>156758</t>
  </si>
  <si>
    <t>КОЛЛЕКЦИЯ ЛУЧШИХ СКАЗОК выб.лак, мелов.бум. 200х265</t>
  </si>
  <si>
    <t>978-5-378-31367-9</t>
  </si>
  <si>
    <t xml:space="preserve">«Коллекция лучших сказок» — замечательный сборник знакомых и любимых с детства историй. Произведения Ганса Христиана Андерсена, Шарля Перро и другие народные сказки подарят ребёнку увлекательное путешествие в волшебный мир и познакомят с его обитателями. Дюймовочка, Кот в сапогах, Русалочка — лишь часть тех персонажей, которые встретятся в книге и расскажут о добре, любви и преданности. Такая книга станет отличным подарком каждому малышу. </t>
  </si>
  <si>
    <t>9785378313679</t>
  </si>
  <si>
    <t>Андерсен Ганс Христиан,Перро Шарль</t>
  </si>
  <si>
    <t>27517a62f8199808132eb538e189cc30</t>
  </si>
  <si>
    <t>204х257х12</t>
  </si>
  <si>
    <t>230325</t>
  </si>
  <si>
    <t>Корней Чуковский. ЛУЧШИЕ СТИХИ И СКАЗКИ мат.ламин, выб.лак, офсет. 205х255</t>
  </si>
  <si>
    <t>978-5-378-35112-1</t>
  </si>
  <si>
    <t>Под обложкой этой книги вы найдёте произведения любимого детского сказочника — Корнея Ивановича Чуковского. Сборник станет настоящим сокровищем для домашней библиотеки, ведь на его страницах читателей  ждёт встреча с любимыми героями — Айболитом, Мойдодыром, Бармалеем, а также с героями английских народных песенок: Барабеком, Котауси и Мауси и многими другими. Чудесные, наполненными яркими красками иллюстрации не оставят равнодушными ни малышей, ни взрослых!</t>
  </si>
  <si>
    <t>9785378351121</t>
  </si>
  <si>
    <t>9e1ead38e28e59696caa9235f862c9aa</t>
  </si>
  <si>
    <t>205х253х20</t>
  </si>
  <si>
    <t>173206</t>
  </si>
  <si>
    <t>Корней Чуковский. СКАЗКИ мат.ламин, выбор.лак. 171х216</t>
  </si>
  <si>
    <t>978-5-378-32376-0</t>
  </si>
  <si>
    <t>Эта замечательная книга предназначена для самых юных слушателей. Она познакомит малышей с творчеством Корнея Ивановича Чуковского и откроет дверь в удивительный мир его сказочных персонажей. Дети познакомятся с Айболитом, Мойдодыром, Бармалеем, Мухой-Цокотухой, Бибигоном и многими другими. 
  В книге собраны все самые любимые сказки, стихи и английский народные песенки. Каждое произведение сопровождают красочные картинки. Они обязательно подарят детям хорошее настроение и массу положительными эмоций.</t>
  </si>
  <si>
    <t>9785378323760</t>
  </si>
  <si>
    <t>ae042f5bca9ca2e96b372fcbbf35dc28</t>
  </si>
  <si>
    <t>171х216х20</t>
  </si>
  <si>
    <t>242303</t>
  </si>
  <si>
    <t>ЛЮБИМЫЕ СКАЗКИ ДЛЯ МАЛЫШЕЙ мат.ламин, выб.лак, офсет. 145х203</t>
  </si>
  <si>
    <t>978-5-378-35245-6</t>
  </si>
  <si>
    <t>Приглашаем читателей в волшебный мир сказок! Этот сборник создан для самых маленьких. Он включает в себя разнообразные разделы: потешки, чистоговорки, сказки, стихи и загадки, которые подарят радость и веселье как детям, так и их родителям. Книга станет верным спутником в мире фантазии и творчества, а также поможет родителям проводить время с детьми с пользой и удовольствием.</t>
  </si>
  <si>
    <t>9785378352456</t>
  </si>
  <si>
    <t>Ушинский Константин Дмитриевич, Толстой Лев Николаевич, Толстой Алексей Николаевич, Чуковский Корней Иванович, Капица Ольга, Афанасьев Александр Николаевич, Маяковский Владимир Владимирович</t>
  </si>
  <si>
    <t>06b203a0aef466eee59d26afc0f40ede</t>
  </si>
  <si>
    <t>146x204x13</t>
  </si>
  <si>
    <t>268487</t>
  </si>
  <si>
    <t>Н.В. Гоголь. ВЕЧЕРА НА ХУТОРЕ БЛИЗ ДИКАНЬКИ тиснение, выб.лак 217х280</t>
  </si>
  <si>
    <t>978-5-378-35948-6</t>
  </si>
  <si>
    <t>«Вечера на хуторе близ Диканьки» — это сборник повестей Николая Васильевича Гоголя, в которых соединились яркие образы персонажей из простого народа, описание малороссийского быта и фольклорные мотивы из преданий, легенд и поверий. Колоритные классические иллюстрации, нарисованные художником от руки, передают неповторимую атмосферу произведения.
В подарочное издание с золотым тиснением и выборочным лаком на обложке вошли три наиболее популярные повести: «Сорочинская ярмарка», «Майская ночь, или Утопленница» и «Ночь перед Рождеством».</t>
  </si>
  <si>
    <t>9785378359486</t>
  </si>
  <si>
    <t>Гоголь Николай Васильевич</t>
  </si>
  <si>
    <t>1a2423778ee79b8efcb629519409577d</t>
  </si>
  <si>
    <t>217х280х15</t>
  </si>
  <si>
    <t>116801</t>
  </si>
  <si>
    <t>СНЕЖНАЯ КОРОЛЕВА мат.ламин. тиснение, 217х280</t>
  </si>
  <si>
    <t>978-5-378-29581-4</t>
  </si>
  <si>
    <t>Замечательная сказка Ганса Христиана Андерсена перенесёт читателей в волшебный мир и подарит настоящее зимнее настроение. Повести о храброй девочке Герде и застенчивом мальчике Кае познакомит ребёнка с такими понятиями, как добро и зло, любовь и преданность. Книга станет отличным подарком на Новый год.</t>
  </si>
  <si>
    <t>9785378295814</t>
  </si>
  <si>
    <t>Андерсен Ганс Христиан</t>
  </si>
  <si>
    <t>217х280х8</t>
  </si>
  <si>
    <t>238464</t>
  </si>
  <si>
    <t>СТРАШНЫЕ СКАЗКИ мал.ламин, выб.лак, офсет 203х257</t>
  </si>
  <si>
    <t>978-5-378-35111-4</t>
  </si>
  <si>
    <t>В этой книге собраны страшные сказки для детей постарше. Они расскажут о ведьмах, колдунах, волшебных превращениях и загадочных перевоплощениях. А окунуться в атмосферу жути ещё глубже помогут нагоняющие страх иллюстрации. Читать страшные сказочные истории очень полезно. Такие сказки тренируют психику. Они учат сопереживать герою, разбираться в людях и их поступках, преодолевать страхи, делать правильные выводы. Но самое главное в таких сказках — это благополучный конец. В данной книге мы предлагаем детям познакомиться именно с такими сказками, где добро побеждает зло.</t>
  </si>
  <si>
    <t>9785378351114</t>
  </si>
  <si>
    <t>Афанасьев Александр Николаевич,Гетцель Виктория,Мадам д"Онуа,Братья Гримм,Лаврухина Ирина,Альникин Антон</t>
  </si>
  <si>
    <t>7551afa7f00a18d9f01f80fef506ba18</t>
  </si>
  <si>
    <t>РАЗВИВАЮЩИЕ КНИГИ</t>
  </si>
  <si>
    <t>ОБУЧЕНИЕ</t>
  </si>
  <si>
    <t>107011</t>
  </si>
  <si>
    <t>250 ЗАГАДОК, ЧИСТОГОВОРОК, СКОРОГОВОРОК, ПОСЛОВИЦ, СЧИТАЛОК мат.ламин, выбор.лак. 203х257</t>
  </si>
  <si>
    <t>978-5-378-29159-5</t>
  </si>
  <si>
    <t>Эта яркая, красочная книга подарит массу положительных эмоций и детям, и их родителям. В ней собрано огромное количество загадок, считалочек, скороговорок, чистоговорок, пословиц и поговорок на все случаи жизни.</t>
  </si>
  <si>
    <t>9785378291595</t>
  </si>
  <si>
    <t>Балуева Оксана Борисовна,Громова Людмила Александровна,Корнеева Ольга Тихоновна,Манакова Мария Васильевна,Купырина Анна Михайловна,Ушкина Наталья Евгеньевна</t>
  </si>
  <si>
    <t>5bffe1f675e0b9f711afd79d5faad431</t>
  </si>
  <si>
    <t>176524</t>
  </si>
  <si>
    <t>БОЛЬШАЯ КНИГА ПО МАТЕМАТИКЕ  глянц.ламин КБС 195х275</t>
  </si>
  <si>
    <t>978-5-378-35378-1</t>
  </si>
  <si>
    <t>«Большая книга по математике» – это большой сборник увлекательных заданий, задач и примеров, благодаря которым ребёнок познакомится с цифрами и формами,  освоит счёт и научится считать деньги. Все задания построены по принципу «от простого к сложному», поэтому вы сможете заниматься по этой книге и с дошкольником, и с ребёнком младшего школьного возраста.</t>
  </si>
  <si>
    <t>9785378353781</t>
  </si>
  <si>
    <t>337bbae3a3d8c1e0c5d02857a1427a3d</t>
  </si>
  <si>
    <t>195х275х7</t>
  </si>
  <si>
    <t>110561</t>
  </si>
  <si>
    <t>ПЕРВЫЕ СЛОВА мат.ламин.обл. выбор.лак, мелован.бумага, 215х280</t>
  </si>
  <si>
    <t>978-5-378-29313-1</t>
  </si>
  <si>
    <t>Эта красочная книжка-картинка познакомит вашего малыша с разными предметами, которые его окружают, поможет выучить их названия. Можно бесконечно рассматривать яркие и насыщенные иллюстрации, находить в них новые детали, придумывать увлекательные истории про героев книги - мальчишек и девчонок.</t>
  </si>
  <si>
    <t>9785378293131</t>
  </si>
  <si>
    <t>под ред. В. Грищенко</t>
  </si>
  <si>
    <t>215х280х7</t>
  </si>
  <si>
    <t>114254</t>
  </si>
  <si>
    <t>Развиваем речь и мышление ЗАГАДКИ, РЕЧЕВЫЕ ИГРЫ, СКОРОГОВОРКИ мат.ламин.обл. выбор.лак 202х257</t>
  </si>
  <si>
    <t>978-5-378-29484-8</t>
  </si>
  <si>
    <t>Эта книга станет незаменимым помощником вашему малышу. С ней он пополнит словарный запас, научится образовывать новые слова, строить словосочетания, предложения и связные высказывания. Загадки улучшат наглядно-образное мышление, воображение и наблюдательность, а скороговорки научат вашего малыша говорить красиво и правильно. Благодаря забавным иллюстрациям и весёлым заданиям учиться будет легко и увлекательно.</t>
  </si>
  <si>
    <t>9785378294848</t>
  </si>
  <si>
    <t>202х256х6</t>
  </si>
  <si>
    <t>ПОЛЕЗНЫЕ КНИГИ ДЛЯ ДЕТЕЙ</t>
  </si>
  <si>
    <t>218654</t>
  </si>
  <si>
    <t>Всё про это. Интимный ликбез для детей</t>
  </si>
  <si>
    <t>978-5-378-34552-6</t>
  </si>
  <si>
    <t>В этой книге ребёнок найдёт ответы на самые деликатные вопросы, которые стеснялся задать родителям. А взрослые в свою очередь не знали, с чего начать разговор «про это». Педиатр Елена Малиева доступно объяснит, как устроены мальчики и девочки, откуда берутся дети, что делать, чтобы избежать нежелательной беременности и половых инфекций. Кроме того, автор расскажет о базовых правилах личной гигиены, а также «границах тела» – нарушать их строго запрещено!</t>
  </si>
  <si>
    <t>9785378345526</t>
  </si>
  <si>
    <t>Малиева Елена</t>
  </si>
  <si>
    <t>2d9b01010b22422739d2ca63ada50d7a</t>
  </si>
  <si>
    <t>195х270х5</t>
  </si>
  <si>
    <t>114253</t>
  </si>
  <si>
    <t>НЕСКУЧНЫЕ ПРАВИЛА глянц.ламин. офсет 202х257</t>
  </si>
  <si>
    <t>978-5-378-29448-0</t>
  </si>
  <si>
    <t>Книга с красочными картинками расскажет юным читателям об основных правилах приличия, вежливости и этикета и поможет стать самыми воспитанными малышами! Забавные картинки и тест в конце книжки не дадут заскучать ни взрослым, ни детям, и запоминать правила поведения будет совсем Не скучно!</t>
  </si>
  <si>
    <t>9785378294480</t>
  </si>
  <si>
    <t>под ред. Н. Солониной</t>
  </si>
  <si>
    <t>СЕРИЯ: БУКВАРЬ, АЗБУКА , АЛФАВИТ</t>
  </si>
  <si>
    <t>047750</t>
  </si>
  <si>
    <t>БУКВАРЬ  А5  глянц.ламин. офсет 170х220</t>
  </si>
  <si>
    <t>978-5-378-26517-6</t>
  </si>
  <si>
    <t>Букварь ориентирован на детей дошкольного возраста, начинающих свой долгий путь в мире букв, слов и предложений. Под контролем взрослых малыш будет выполнять несложные задания, которые помогут ему усвоить материал, а кроме этого он сможет рассматривать милые иллюстрации и придумывать по ним собственные истории!</t>
  </si>
  <si>
    <t>9785378265176</t>
  </si>
  <si>
    <t xml:space="preserve">Цой Александра Валентиновна </t>
  </si>
  <si>
    <t>1e61c022286cdc42600dbd52d95d274a</t>
  </si>
  <si>
    <t>09.08.2017 0:00:00</t>
  </si>
  <si>
    <t>Букварь</t>
  </si>
  <si>
    <t>170х215х7</t>
  </si>
  <si>
    <t>232096</t>
  </si>
  <si>
    <t>БУКВАРЬ (зелёный) КБС глянц.ламин.197х249</t>
  </si>
  <si>
    <t>978-5-378-34860-2</t>
  </si>
  <si>
    <t>Букварь предназначен для детей дошкольного возраста. С его помощью ребёнок познакомится с буквами русского языка, научится соединять буквы в слоги, а потом читать слова и предложения. Интересные упражнения, яркие иллюстрации и забавные стихи помогут удержать внимание маленьких непосед и сделают обучение более увлекательным. Занимаясь по этой книге, ребёнок быстро и с удовольствием научится читать.</t>
  </si>
  <si>
    <t>9785378348602</t>
  </si>
  <si>
    <t>Цой Александра Валентиновна</t>
  </si>
  <si>
    <t>6eb8b17200823ae971f2ad7f362103e3</t>
  </si>
  <si>
    <t>195х255х3</t>
  </si>
  <si>
    <t>039348</t>
  </si>
  <si>
    <t>БУКВАРЬ 204х257 глянц.ламин. офсет</t>
  </si>
  <si>
    <t>978-5-378-25629-7</t>
  </si>
  <si>
    <t>9785378256297</t>
  </si>
  <si>
    <t>200x258x8</t>
  </si>
  <si>
    <t>101891</t>
  </si>
  <si>
    <t>БУКВАРЬ с прописью, КБС 195х255</t>
  </si>
  <si>
    <t>978-5-378-28985-1</t>
  </si>
  <si>
    <t>С этой удивительной книжкой каждый малыш сможет без труда выучить русский алфавит, научится правильно произносить звуки и писать прописные буквы. Закрепить знания помогут увлекательные задания. Красочное оформление книги обязательно разбудит интерес к обучению!</t>
  </si>
  <si>
    <t>9785378289851</t>
  </si>
  <si>
    <t>8859dbd8952be4db206feb131b1eab53</t>
  </si>
  <si>
    <t>195х255х5</t>
  </si>
  <si>
    <t>СЕРИЯ: ГЛАВНАЯ КНИГА МАЛЫША офсет 100гр, мат.ламин. выб.лак 203х257</t>
  </si>
  <si>
    <t>112824</t>
  </si>
  <si>
    <t>ГЛАВНАЯ КНИГА МАЛЫША матов.ламин.обл. выб.лак. офсет 203х257</t>
  </si>
  <si>
    <t>978-5-378-29409-1</t>
  </si>
  <si>
    <t>В этой книге малыш найдёт много интересной информации об окружающем мире. Сборник познакомит ребёнка с геометрическими фигурами, цветами, различными животными, фруктами и овощами, видами транспорта, цифрами и буквами алфавита, а также научит узнавать части лица и тела. Яркие фотографии сделают обучение увлекательным и доступным.</t>
  </si>
  <si>
    <t>9785378294091</t>
  </si>
  <si>
    <t>под ред. К. Ктиторовой</t>
  </si>
  <si>
    <t>7aaf420e21fb0f0131e95eabade9bc45</t>
  </si>
  <si>
    <t>203х257х11</t>
  </si>
  <si>
    <t>206947</t>
  </si>
  <si>
    <t>ГЛАВНАЯ КНИГА МАЛЫША. ЖИВОТНЫЕ НАШЕЙ ПЛАНЕТЫ</t>
  </si>
  <si>
    <t>978-5-378-34259-4</t>
  </si>
  <si>
    <t>В этой книге вы найдёте множество ярких фотографий животных из разных уголков мира: домашних и диких, морских обитателей и многих других. С помощью «Главной книги малыша» любой непоседа сможет погрузиться в мир знаний и с удовольствием начать знакомство с фауной нашей удивительной планеты!</t>
  </si>
  <si>
    <t>9785378342594</t>
  </si>
  <si>
    <t>под ред. К. Ктиторовой, М.Черепановой</t>
  </si>
  <si>
    <t>212c7762e1f4b18fbaf0e5607e2bf5d7</t>
  </si>
  <si>
    <t>206948</t>
  </si>
  <si>
    <t>ГЛАВНАЯ КНИГА МАЛЫША. ОВОЩИ, ФРУКТЫ И МНОГОЕ ДРУГОЕ</t>
  </si>
  <si>
    <t>978-5-378-34258-7</t>
  </si>
  <si>
    <t>Вы держите в руках книгу, которая откроет вашему малышу страну знаний. В этой книге вы найдёте: изображения и названия фруктов, овощей, ягод, одежды, транспорта и предметов в доме. Знакомство с этими категориями будет радостным и увлекательным благодаря большим и красочным изображениям. Вперёд в путешествие в страну знаний вместе с «Главной книгой малыша!»</t>
  </si>
  <si>
    <t>9785378342587</t>
  </si>
  <si>
    <t>f9060b3d5e0ef34b0dbd324a7c781cda</t>
  </si>
  <si>
    <t>206949</t>
  </si>
  <si>
    <t>ГЛАВНАЯ КНИГА МАЛЫША. УЧИМСЯ ГОВОРИТЬ</t>
  </si>
  <si>
    <t>978-5-378-34257-0</t>
  </si>
  <si>
    <t>В ваших руках — книга для речевого развития малыша. В ней вы найдёте: алфавит, звукоподражания, чистоговорки, скороговорки и стихотворения. Каждая страница дополнена яркими иллюстрациями, которые будут способствовать быстрому и увлекательному изучению букв и новых слов.</t>
  </si>
  <si>
    <t>9785378342570</t>
  </si>
  <si>
    <t>Медведева Анна,Манакова Мария,Строителева Анна Владимировна,Корнеева Ольга Тихоновна,Балуева Оксана Борисовна</t>
  </si>
  <si>
    <t>f7cc324cd7e7c2ea7aa2e0b149b4f022</t>
  </si>
  <si>
    <t>ТВОРЧЕСТВО</t>
  </si>
  <si>
    <t>178973</t>
  </si>
  <si>
    <t>БОЛЬШАЯ КНИГА ПОШАГОВОГО РИСОВАНИЯ глянц.ламин.обл. офсет 215х288</t>
  </si>
  <si>
    <t>978-5-378-33078-2</t>
  </si>
  <si>
    <t>Как научиться рисовать сказочных персонажей, милых зверушек, забавных монстриков и динозавров? Легко! В этой книге представлены простые пошаговые уроки, благодаря которым ребёнок свободно повторит эскиз и оживит картинку красками. 
Для наглядности мы предложили цветовую палитру, но вы вольны раскрашивать героев как пожелаете, ориентируясь на свой вкус и видение картинки. Творите в удовольствие!</t>
  </si>
  <si>
    <t>9785378330782</t>
  </si>
  <si>
    <t>под ред. О. Грининой</t>
  </si>
  <si>
    <t>353f086eff20343e48d1db43452ef43f</t>
  </si>
  <si>
    <t>215x288x15</t>
  </si>
  <si>
    <t>188948</t>
  </si>
  <si>
    <t>БОЛЬШАЯ КНИГА ТВОРЧЕСТВА глянц.ламин КБС 195х275</t>
  </si>
  <si>
    <t>978-5-378-35400-9</t>
  </si>
  <si>
    <t>В «Большой книге творчества» собраны оригинальные идеи для совместного творчества с детьми от 1 года и старше. Процесс создания поделок даёт ребёнку возможность развивать важные навыки, которые пригодятся ему в жизни: мелкую моторику, пространственное мышление, воображение и память. Кроме того, творчество — один из лучших способов развития эмоционального интеллекта и навыков коммуникации.</t>
  </si>
  <si>
    <t>9785378354009</t>
  </si>
  <si>
    <t>20c0b305ba0986d95d18b9603250ccfd</t>
  </si>
  <si>
    <t>195х273х7</t>
  </si>
  <si>
    <t>РОМАНЫ ДЛЯ ДЕВОЧЕК</t>
  </si>
  <si>
    <t>СЕРИЯ: РОМАНЫ ДЛЯ ДЕВОЧЕК офсет, выб лак, КБС 147х203</t>
  </si>
  <si>
    <t>265132</t>
  </si>
  <si>
    <t>РОМАНЫ ДЛЯ ДЕВОЧЕК. КБС. Мелодия первой любви</t>
  </si>
  <si>
    <t>978-5-378-35874-8</t>
  </si>
  <si>
    <t>«Меня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t>
  </si>
  <si>
    <t>9785378358748</t>
  </si>
  <si>
    <t>4a0ba97bb385f2858fbe0bad093abffd</t>
  </si>
  <si>
    <t>133х195х19</t>
  </si>
  <si>
    <t>267377</t>
  </si>
  <si>
    <t>РОМАНЫ ДЛЯ ДЕВОЧЕК. КБС. Пышечная, согревающая сердца</t>
  </si>
  <si>
    <t>978-5-378-35921-9</t>
  </si>
  <si>
    <t>Хилинг-роман, пропитанный запахом пышек и атмосферой Cанкт-Петербурга. Маша Литвинова привыкла стойко справляться с трудностями и молчать о своих проблемах. Но всё меняется, когда она с семьёй переезжает в Петербург, и родители открывают маленькую пышечную у набережной Карповки. Тревожная жизнь Маши наполняется ароматом жареного теста, сонным гудением кофемашины под шум дождя за окном, чувством причастности к общему делу. А главное — душевными разговорами с незнакомцами, которые незаметно становятся очень близкими. В место, где даже самый холодный и дождливый петербургский день наполняется ароматом свежей выпечки.</t>
  </si>
  <si>
    <t>9785378359219</t>
  </si>
  <si>
    <t>Тоболина Инна</t>
  </si>
  <si>
    <t>142х195х20</t>
  </si>
  <si>
    <t>СЕРИЯ: РОМАНЫ ДЛЯ ДЕВОЧЕК офсет, выб лак, цветной обрез 147х203</t>
  </si>
  <si>
    <t>268529</t>
  </si>
  <si>
    <t>ДЕВУШКА ЛУЧШЕГО ДРУГА мат.ламин, выб.лак, офсет 145х203</t>
  </si>
  <si>
    <t>978-5-378-35951-6</t>
  </si>
  <si>
    <t>« Меня зовут Ким. В прошлом году я понял, что влюблён в девушку своего лучшего друга - Надю.
Позже, совершенно спонтанно, у меня начались отношения с подругой моей тайной симпатии. Казалось бы, новый роман должен всё исправить, но он лишь сильнее запутал меня. А не так давно я узнал, что мой лучший друг обратил внимание на Надю не случайно.
И теперь я задаюсь вопросом: а что, если бы я признался ей в симпатии первым? Что, если бы не побоялся своих чувств? И как теперь мне вырваться из этого замкнутого круга? »</t>
  </si>
  <si>
    <t>9785378359516</t>
  </si>
  <si>
    <t>7067faae48baf4d30e6531027610bbb9</t>
  </si>
  <si>
    <t>145х203х25</t>
  </si>
  <si>
    <t>268526</t>
  </si>
  <si>
    <t>ЕГО ВЕЛИЧЕСТВО ЭГОИСТ мат.ламин, выб.лак, офсет 145х203</t>
  </si>
  <si>
    <t>978-5-378-35950-9</t>
  </si>
  <si>
    <t>«Меня зовут Макс. Ещё в прошлом году мы с Викой были лучшими друзьями в одной компании, и я был абсолютно счастлив. А потом её неожиданное признание в любви и моя дурацкая, бессвязная чушь в ответ. Травма, развод родителей, переезд — и моя жизнь превратилась в неудачный спектакль. Я уже думал, что потерял всё, пока на расстоянии не осознал, что на самом деле чувствовал к своей лучшей подруге. Я полон решимости исправить ошибки! Но, вернувшись в родной город, я узнаю, что моя Вика встречается с другим...»</t>
  </si>
  <si>
    <t>9785378359509</t>
  </si>
  <si>
    <t>523b96b0c029d2047718ca4e6dd6a20c</t>
  </si>
  <si>
    <t>265799</t>
  </si>
  <si>
    <t>ЛЕДЯНОЙ ПОЦЕЛУЙ мат.ламин, выб.лак, офсет 145х203</t>
  </si>
  <si>
    <t>978-5-378-35894-6</t>
  </si>
  <si>
    <t>«Меня зовут Полина. Ещё в прошлом году я была подающей надежды фигуристкой, лучшей среди лучших. А потом неудачное падение и долгая реабилитация. Мне пришлось бросить фигурное катание. Я уже думала, что чёрная полоса не закончится, пока не появился он. Красивый, сильный, центр внимания в любой компании, профессиональный пловец — Артём Зимин. Мне кажется, что я ему по-настоящему нравлюсь, но он настолько очаровательный, что так думаю не я одна. Недавно он признался мне, что хочет бросить плавание. Я просто обязана попытаться донести до него, чего он может лишиться!»</t>
  </si>
  <si>
    <t>9785378358946</t>
  </si>
  <si>
    <t>7b055631ab2bc14541a948dba4d39c0a</t>
  </si>
  <si>
    <t>242294</t>
  </si>
  <si>
    <t>ЛЖЕЦ С СОСЕДНЕЙ ПАРТЫ мат.ламин, выб.лак, офсет 147х203</t>
  </si>
  <si>
    <t>978-5-378-35242-5</t>
  </si>
  <si>
    <t>«Наша семья часто переезжает из-за папиной работы. За последние восемь лет я сменила четыре школы. И новый учебный год начнётся уже в пятой… Как мне надоело всю жизнь быть «новенькой»! Но в этот раз всё гораздо хуже, потому что мама отправилась в экспедицию. А это значит, что её не будет рядом в первый учебный день и ещё очень много раз, когда она будет мне нужна... У неё и связь там практически не ловит... Но если бы мне кто-то сказал, что мой новый красивый, высокий, общительный и умный одноклассник обратит на меня внимание, да ещё и на свидание позовёт! Я бы точно так не переживала! Прогулки, поход в кафе и часы разговоров с самым милым и добрым парнем на свете — кажется, я влюбилась! Моё счастье омрачают только три неразлучные подружки — мои одноклассницы. Не понимаю, почему они именно на меня так взъелись. Ещё и местный весельчак класса настойчиво пытается меня разубедить в том, что «почти мой парень» — хороший человек...»</t>
  </si>
  <si>
    <t>9785378352425</t>
  </si>
  <si>
    <t>94cf9cc177d0a059d9d8e2a77e4c4448</t>
  </si>
  <si>
    <t>256195</t>
  </si>
  <si>
    <t>ЛЮБОВЬ СО ВКУСОМ МОРЯ мат.ламин, выб.лак, офсет 147х203</t>
  </si>
  <si>
    <t>978-5-378-35642-3</t>
  </si>
  <si>
    <t>«Меня зовут Юля, и это лето я проведу на море у своей мамы. Мы видимся редко, потому что учусь и живу я в Москве вместе с бабушкой и дедушкой. В общем, это долгая история… Вот только на вокзале меня ждал неприятный сюрприз. Вместо мамы меня встретил её «друг», который, судя по всему, частый гость в её доме. Чудика какого-то встретила в первый же день, смотрел на меня, не отрывая взгляда, будто призрака увидел. Настроение и самолюбие поднимает только внезапный симпатичный поклонник, который ещё и подарки мне на подоконнике оставляет. Я почти уверена, что это он, больше некому! Ну не тот же чудик мне их тайно носит? И вот странно, я как будто уже видела его раньше...»</t>
  </si>
  <si>
    <t>9785378356423</t>
  </si>
  <si>
    <t>Николаенко Дениза</t>
  </si>
  <si>
    <t>604bdf5050459f0e18e1805cc1cd0353</t>
  </si>
  <si>
    <t>246465</t>
  </si>
  <si>
    <t>МЕЛОДИЯ ПЕРВОЙ ЛЮБВИ мат.ламин, выб.лак, офсет 147х203</t>
  </si>
  <si>
    <t>978-5-378-35419-1</t>
  </si>
  <si>
    <t xml:space="preserve">«Меня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 </t>
  </si>
  <si>
    <t>9785378354191</t>
  </si>
  <si>
    <t>6bd58783bce83dcfb764c5528043536b</t>
  </si>
  <si>
    <t>147х203х20</t>
  </si>
  <si>
    <t>264431</t>
  </si>
  <si>
    <t>ПОЛЛИАННА мат.ламин, выб.лак, офсет 145х203</t>
  </si>
  <si>
    <t>978-5-378-35864-9</t>
  </si>
  <si>
    <t>Тёплая и невероятно душевная книга Элинор Портер расскажет вам о непростой судьбе девочки. В своём юном возрасте она пережила серьёзные жизненные потери, а теперь вынуждена мириться со сложным характером тёти, не питающей к ней никаких чувств. Чтобы выживать и не терять веры в людей и себя, Поллианна играет «в радость». Как это? Вам непременно нужно это узнать и обязательно попробовать повторить! Перевод Марины Батищевой тонко передал всю нежность и доброту этой истории, текст увлекает с первых строк и держит в объятиях до последней страницы!</t>
  </si>
  <si>
    <t>9785378358649</t>
  </si>
  <si>
    <t>Портер Элинор</t>
  </si>
  <si>
    <t>264fa2df6e99927231a6e7227a4d112d</t>
  </si>
  <si>
    <t>240186</t>
  </si>
  <si>
    <t>ПРИНЦ, ЕГО СВИТА И Я мат.ламин, выб.лак, офсет 147х203</t>
  </si>
  <si>
    <t>978-5-378-35205-0</t>
  </si>
  <si>
    <t>«В этом году я сменила школу и решила во что бы то ни стало измениться — стать по-настоящему классной девчонкой. Из тех, кого с интересом слушают, замечают, как только те входят в класс, спрашивают, где же они раздобыли такую крутую блузку, и приглашают на ночёвки. Но больше всего мне хочется влюбиться. И, конечно, в самого красивого и доброго парня на свете. Гардероб я сменила, в новом классе отлично себя зарекомендовала и принца нашла! А вот о его свите я совсем не мечтала… Почему его другу-клоуну нужно быть рядом 24/7? Ещё и соперница появилась. Ну ничего, за любовь нужно бороться, а цель оправдывает средства, ведь так?»</t>
  </si>
  <si>
    <t>9785378352050</t>
  </si>
  <si>
    <t>ca7fe446fba357db4d777809d6099138</t>
  </si>
  <si>
    <t>260232</t>
  </si>
  <si>
    <t>ТАЙНЫЙ ПОКЛОННИК мат.ламин, выб.лак, офсет 145х203</t>
  </si>
  <si>
    <t>978-5-378-35714-7</t>
  </si>
  <si>
    <t>«Меня зовут Вера, и в этом учебном году я по уши влюбилась. Это произошло внезапно... Просто в один момент я будто посмотрела на лучшего игрока нашей баскетбольной команды другими глазами. Игорь — самый быстрый, сильный, а главное, очень серьёзный... Он первым подошёл ко мне, заговорил и даже проводил до дома. Я уже погрузилась в фантазии о том, как мы начнём встречаться. Однажды забирая почту, я обнаружила первое любовное письмо, адресованное мне. Правда, отправитель не был указан. Но это точно Игорь! Кто ещё мог так оригинально осыпать меня комплиментами? Я была абсолютно счастлива, только вот за всё время наших отношений Игорь ни разу не заговорил о письмах. Разве это не странно? Не могла же я получать и радоваться письмам неизвестного парня...»</t>
  </si>
  <si>
    <t>9785378357147</t>
  </si>
  <si>
    <t>a82677ee1ad9644889309804a5915f7d</t>
  </si>
  <si>
    <t>260231</t>
  </si>
  <si>
    <t>ТРЕТИЙ ЛИШНИЙ мат.ламин, выб.лак, офсет 145х203</t>
  </si>
  <si>
    <t>978-5-378-35715-4</t>
  </si>
  <si>
    <t>«Меня зовут Лиля, и я самая обычная девчонка. В жизни моей всё было спокойно и ровно до того момента, пока я не поняла, что влюблена в своего друга-одноклассника… Его зовут Вова, и он настоящий гений. Когда-то его признание я по глупости отвергла.
Теперь мне нужно вернуть его любовь! Но все мои попытки вновь заставить его увидеть во мне больше, чем друга, обратились провалом, ещё и одна из королев школы ему томно в глаза заглядывает. Я уже думала страдать до конца своих дней... Но недавно со мной познакомился просто невероятно харизматичный парень, он ещё и актёром оказался! Раньше моё сердце так билось только с Вовой... Он, кстати, не одобряет моего нового знакомого и упорно пытается донести, что тот не лучшая пара для меня. Но ему-то какая разница? Мы же просто друзья, ведь так?»</t>
  </si>
  <si>
    <t>9785378357154</t>
  </si>
  <si>
    <t>b1a2f240adec748cd9370a28606e9715</t>
  </si>
  <si>
    <t>СЕРИЯ: ХИЛИНГ-РОМАНЫ ДЛЯ ДЕВОЧЕК офсет, выб лак 147х203</t>
  </si>
  <si>
    <t>267374</t>
  </si>
  <si>
    <t>ПЫШЕЧНАЯ, СОГРЕВАЮЩАЯ СЕРДЦА мат.ламин, выб.лак, офсет 145х203</t>
  </si>
  <si>
    <t>978-5-378-35918-9</t>
  </si>
  <si>
    <t>9785378359189</t>
  </si>
  <si>
    <t>382c5f7d856d348292a55f647838d25d</t>
  </si>
  <si>
    <t>СЕРИЯ: КЛАССИКА офсет, выб лак, КБС 140х195</t>
  </si>
  <si>
    <t>265100</t>
  </si>
  <si>
    <t>КЛАССИКА. Дж.Лондон. Мартин Иден</t>
  </si>
  <si>
    <t>978-5-378-35871-7</t>
  </si>
  <si>
    <t xml:space="preserve">Что может произойти, когда ради любви ты решаешь изменить свою судьбу? Мартин Иден — простой моряк, сильный и грубоватый, — и не подозревает, какая бездна разделяет его и Руфь, хрупкую девушку из высшего общества. Их миры сталкиваются, и одна лишь встреча переворачивает жизнь Мартина. Он бросает вызов самому себе: изнурительный труд, бессонные ночи за книгами, отчаянная борьба с бедностью и необразованностью. Ради своей мечты и любви он готов пройти через все. Но сможет ли он стать тем, кем хочет, и остаться собой? И что ждет его на вершине, к которой он так яростно стремится? </t>
  </si>
  <si>
    <t>9785378358717</t>
  </si>
  <si>
    <t>Лондон Джек</t>
  </si>
  <si>
    <t>9193a91f52820d875297effc9125c0d8</t>
  </si>
  <si>
    <t>136х195х33</t>
  </si>
  <si>
    <t>265099</t>
  </si>
  <si>
    <t>КЛАССИКА. М.А.Булгаков. Мастер и Маргарита</t>
  </si>
  <si>
    <t>978-5-378-35873-1</t>
  </si>
  <si>
    <t>Москва 1930-х.
Одинокий писатель, известный под именем Мастер, сжигает рукопись романа о Понтии Пилате. Чтобы спасти своего избранника, его возлюбленная Маргарита готова на сделку с темными силами. А в это время в столицу прибывает загадочный иностранец — профессор Воланд, чьи пророческие шутки оборачиваются хаосом. Кто он: шарлатан, безумец — или нечто куда более древнее? Булгаков создает головокружительный микс из мистики, сатиры и вечной любви, где за вихрем абсурда скрываются вопросы о добре, зле и цене истинного творчества. «Мастер и Маргарита» — это роман, который читатель переживает, как заклинание: однажды попав под его власть, уже не может освободиться.</t>
  </si>
  <si>
    <t>9785378358731</t>
  </si>
  <si>
    <t>Булгаков Михаил</t>
  </si>
  <si>
    <t>fdc47e5ec9c8c6b49c7f441d738007d6</t>
  </si>
  <si>
    <t>265104</t>
  </si>
  <si>
    <t>КЛАССИКА. М.А.Булгаков. Собачье сердце</t>
  </si>
  <si>
    <t>978-5-378-35872-4</t>
  </si>
  <si>
    <t>Повесть Михаила Булгакова «Собачье сердце» — сатирическое произведение, в котором раскрывается критика большевизма и идеи преобразования человечества. По сюжету гениальный ученый профессор Преображенский идет на небывалый эксперимент — он пересаживает гипофиз хулигана и пьяницы Клима Чугункина бездомной собаке. Великий эксперимент! Оправдаются ли ожидания ученого? Ответ читатели узнают в книге!</t>
  </si>
  <si>
    <t>9785378358724</t>
  </si>
  <si>
    <t>135х195х12</t>
  </si>
  <si>
    <t>264279</t>
  </si>
  <si>
    <t>КЛАССИКА. Н.В.Гоголь.Вечера на хуторе близ Диканьки</t>
  </si>
  <si>
    <t>978-5-378-35856-4</t>
  </si>
  <si>
    <t>«Вечера на хуторе близ Диканьки» — сборник из восьми рассказов, вдохновленных фольклором Малороссии. Николай Гоголь смог сплести воедино мистику и юмор так, чтобы произведения стали классикой русской литературы, которую интересно читать и детям, и взрослым. В сборнике представлены все восемь рассказов из цикла: «Сорочинская ярмарка», «Вечер накануне Ивана Купала», «Майская ночь,или Утопленница», «Пропавшая грамота», «Ночь перед Рождеством», «Страшная месть», «Иван Федорович Шпонька и его тётушка», «Заколдованное место».</t>
  </si>
  <si>
    <t>9785378358564</t>
  </si>
  <si>
    <t>cb476058a78262f4c93eeb22eb7c8cbf</t>
  </si>
  <si>
    <t>136х195х21</t>
  </si>
  <si>
    <t>265101</t>
  </si>
  <si>
    <t>КЛАССИКА. О.Уайльд. Портрет Дориана Грея</t>
  </si>
  <si>
    <t>978-5-378-35870-0</t>
  </si>
  <si>
    <t>Прекрасный юноша Дориан Грей желает навсегда остаться молодым, но за вечную молодость ему приходится заплатить слишком высокую цену...
Гениальное произведение Оскара Уайльда о тщетности культа красоты, искушении, тщеславии, безудержном стремлении к удовольствиям и развращающей силе порока — роман, который остается актуальным по сей день.</t>
  </si>
  <si>
    <t>9785378358700</t>
  </si>
  <si>
    <t>Оскар Уайльд</t>
  </si>
  <si>
    <t>2984fc9e777836a45adb77b07febe29c</t>
  </si>
  <si>
    <t>136х195х19</t>
  </si>
  <si>
    <t>СЕРИЯ: ЛЁГКАЯ КЛАССИКА ДЛЯ ДЕТЕЙ мат.лами, выб.лак, офсет, 145х203 (адаптация)</t>
  </si>
  <si>
    <t>253334</t>
  </si>
  <si>
    <t>ЛЁГКАЯ КЛАССИКА ДЛЯ ДЕТЕЙ. Алиса в Стране чудес</t>
  </si>
  <si>
    <t>978-5-378-35587-7</t>
  </si>
  <si>
    <t>Удивительную сказку Льюиса Кэролла «Алиса в Стране чудес» для серии «Лёгкая классика для детей» адаптировали член Союза детских и юношеских писателей России Этери Заболотная и её соавтор Тамара Демченкова. Текст написан простым и понятным для детей языком. В книге крупный шрифт и множество иллюстраций, что делает чтение лёгким и приятным. «Алиса в Стране чудес» — это увлекательная история о маленькой девочке, которая однажды из любопытства нырнула в кроличью нору и оказалась в удивительной стране, полной чудес и невероятных существ. Вместе с Алисой нам предстоит встретиться с мудрым Чеширским Котом, поучаствовать в безумном чаепитии и пережить множество других захватывающих приключений.</t>
  </si>
  <si>
    <t>9785378355877</t>
  </si>
  <si>
    <t>Льюис Кэрролл, адаптация Заболотной Этери и Демченковой Тамары</t>
  </si>
  <si>
    <t>150fa7aa25d4cbff5142d48858579475</t>
  </si>
  <si>
    <t>145x205x9</t>
  </si>
  <si>
    <t>260233</t>
  </si>
  <si>
    <t>ЛЁГКАЯ КЛАССИКА ДЛЯ ДЕТЕЙ. Остров сокровищ</t>
  </si>
  <si>
    <t>978-5-378-35720-8</t>
  </si>
  <si>
    <t>Знаменитый роман шотландского писателя Роберта Стивенсона пересказали для наших юных читателей современные писатели Этери Заболотная и Тамара Демченкова. Они передали в своём повествовании всю атмосферу приключений, связанную с поиском сокровищ на далёком острове так, чтобы сюжет был интересен и понятен для детей младшего школьного возраста. Юный Джим Хокинс отправляется в опасное путешествие за сокровищами, сталкивается с предательством, заводит новых друзей. Обстоятельства вынуждают юношу стать решительным, мужественным, закаляют его характер. Наш герой с честью выдерживает все испытания и вместе с товарищами находит заветные сокровища!</t>
  </si>
  <si>
    <t>9785378357208</t>
  </si>
  <si>
    <t>Стивенсон Роберт Льюис</t>
  </si>
  <si>
    <t>6119240c449b2d6dff529c4214d3fac9</t>
  </si>
  <si>
    <t>145х203х14</t>
  </si>
  <si>
    <t>256208</t>
  </si>
  <si>
    <t>ЛЁГКАЯ КЛАССИКА ДЛЯ ДЕТЕЙ. Робинзон Крузо</t>
  </si>
  <si>
    <t>978-5-378-35643-0</t>
  </si>
  <si>
    <t>Знаменитый роман английского писателя Даниэля Дефо пересказал для наших юных читателей современный писатель Александр Егоров. Александр — чуткий автор и большой поклонник истории о путешественнике Робинзоне — смог передать удивительный
сюжет так, чтобы он был понятен и интересен детям младшего школьного возраста. Юный Робинзон Крузо, мечтающий о морских приключениях и богатстве, отправляется в плавание, которое переворачивает его жизнь раз и навсегда. Кораблекрушение вынуждает юношу поселиться на необитаемом острове и выживать в суровых условиях. Но трудности закаляют! Наш герой с честью выдерживает жизненное испытание и даже приобретает добрых товарищей!</t>
  </si>
  <si>
    <t>9785378356430</t>
  </si>
  <si>
    <t>Дефо Даниэль</t>
  </si>
  <si>
    <t>6976edb6f277cb688a33f54db8947f50</t>
  </si>
  <si>
    <t>256209</t>
  </si>
  <si>
    <t>ЛЁГКАЯ КЛАССИКА ДЛЯ ДЕТЕЙ. Шерлок Холмс. Знак четырёх. Часть 2</t>
  </si>
  <si>
    <t>978-5-378-35639-3</t>
  </si>
  <si>
    <t>Детективную повесть Артура Конан Дойла «Знак четырёх» для серии «Лёгкая классика для детей» адаптировал автор книг для подростков Юрий Ситников. Текст написан простым и понятным языком, без сложных слов и конструкций. В книге забавные иллюстрации, что делает чтение ещё более приятным. Это издание поможет ребёнку с юных лет полюбить художественную литературу! «Знак четырёх» — это вторая книга цикла приключений детектива-консультанта Шерлока Холмса и его компаньона доктора Ватсона. Вы узнаете, что интересного произошло в их жизни и познакомитесь с новыми героями. Конечно, вас ждет очередное невероятно запутанное дело, которое детектив и его друг постараются раскрыть при помощи уникального метода дедукции!</t>
  </si>
  <si>
    <t>9785378356393</t>
  </si>
  <si>
    <t>Дойль Артур Конан,адаптация Юрия Ситникова</t>
  </si>
  <si>
    <t>e5a2211f9ce27a2a5c361ac47456226b</t>
  </si>
  <si>
    <t>248056</t>
  </si>
  <si>
    <t>ЛЁГКАЯ КЛАССИКА ДЛЯ ДЕТЕЙ. Шерлок Холмс. Этюд в багровых тонах. Часть 1</t>
  </si>
  <si>
    <t>978-5-378-35445-0</t>
  </si>
  <si>
    <t>Детективную повесть Артура Конан Дойла «Этюд в багровых тонах» для серии «Лёгкая классика для детей» адаптировали финалист премии Русский детектив 2024 Этери Заболотная и её соавтор Тамара Демченкова. Текст написан простым и понятным языком, без сложных слов и конструкций. В книге крупный шрифт и иллюстрации на каждом развороте, что делает чтение лёгким и приятным. Это издание поможет ребёнку с юных лет полюбить читать! «Этюд в багровых тонах» открывает цикл приключений детектива-консультанта Шерлока Холмса и его компаньона доктора Ватсона. В этой книге мы познакомимся с главными героями и увидим, как мастерски Шерлок Холмс может раскрыть преступление при помощи своего уникального метода дедукции.</t>
  </si>
  <si>
    <t>9785378354450</t>
  </si>
  <si>
    <t>Дойль Артур Конан,адаптация Заболотной Этери и Демченковой Тамары</t>
  </si>
  <si>
    <t>4d4aba946c761215e812baba16cda97d</t>
  </si>
  <si>
    <t>145x203x11</t>
  </si>
  <si>
    <t>СЕРИЯ: ПЕРВЫЕ ЛЮБИМЫЕ КНИЖКИ глянц.ламин 175х188</t>
  </si>
  <si>
    <t>265849</t>
  </si>
  <si>
    <t>ПЕРВЫЕ ЛЮБИМЫЕ КНИЖКИ. Акула Мила находит друзей</t>
  </si>
  <si>
    <t>978-5-378-35892-2</t>
  </si>
  <si>
    <t>Книжка о том, что за грозной внешностью может скрываться доброе сердце...</t>
  </si>
  <si>
    <t>9785378358922</t>
  </si>
  <si>
    <t>d5620131356f39dde4dfdfa287047d25</t>
  </si>
  <si>
    <t>175х190х5</t>
  </si>
  <si>
    <t>265848</t>
  </si>
  <si>
    <t>ПЕРВЫЕ ЛЮБИМЫЕ КНИЖКИ. Лучший для мамы</t>
  </si>
  <si>
    <t>978-5-378-35891-5</t>
  </si>
  <si>
    <t>Книжка о том, что даже проказник всегда самый любимый для своей мамы...</t>
  </si>
  <si>
    <t>9785378358915</t>
  </si>
  <si>
    <t>9c4d623fd750ead388f5f38f4e5744b6</t>
  </si>
  <si>
    <t>265847</t>
  </si>
  <si>
    <t>ПЕРВЫЕ ЛЮБИМЫЕ КНИЖКИ. Макс в детском саду</t>
  </si>
  <si>
    <t>978-5-378-35890-8</t>
  </si>
  <si>
    <t>Книжка о том, что в детском саду интересно, весело и совсем не страшно...</t>
  </si>
  <si>
    <t>9785378358908</t>
  </si>
  <si>
    <t>66d478e1b3e7b295c364f642cd29f42e</t>
  </si>
  <si>
    <t>265812</t>
  </si>
  <si>
    <t>ПЕРВЫЕ ЛЮБИМЫЕ КНИЖКИ. Самый храбрый муравей</t>
  </si>
  <si>
    <t>978-5-378-35885-4</t>
  </si>
  <si>
    <t>Книжка о том, что даже самый маленький способен на большие поступки...</t>
  </si>
  <si>
    <t>9785378358854</t>
  </si>
  <si>
    <t>450dec051a54048a6db6659b0479ce67</t>
  </si>
  <si>
    <t>265846</t>
  </si>
  <si>
    <t>ПЕРВЫЕ ЛЮБИМЫЕ КНИЖКИ. Сказки Синего Трактора</t>
  </si>
  <si>
    <t>978-5-378-35889-2</t>
  </si>
  <si>
    <t>Книжка о том, что любимый герой мультфильма всегда готов прийти на помощь...</t>
  </si>
  <si>
    <t>9785378358892</t>
  </si>
  <si>
    <t>11193cd75935c0d52ecb38b6dc9a49dc</t>
  </si>
  <si>
    <t>265843</t>
  </si>
  <si>
    <t>ПЕРВЫЕ ЛЮБИМЫЕ КНИЖКИ. Трактор Вик и большая гонка</t>
  </si>
  <si>
    <t>978-5-378-35886-1</t>
  </si>
  <si>
    <t>Книжка о том, что, несмотря на все преграды, нужно всегда идти к своей мечте...</t>
  </si>
  <si>
    <t>9785378358861</t>
  </si>
  <si>
    <t>2cb29edd4b3d4ce5c5935bdf0373085a</t>
  </si>
  <si>
    <t>265844</t>
  </si>
  <si>
    <t>ПЕРВЫЕ ЛЮБИМЫЕ КНИЖКИ. Трактор Вик и его пожарная команда</t>
  </si>
  <si>
    <t>978-5-378-35887-8</t>
  </si>
  <si>
    <t>Книжка о том, что мы часто заблуждаемся, когда думаем о ком-то плохо...</t>
  </si>
  <si>
    <t>9785378358878</t>
  </si>
  <si>
    <t>a6b3b2cf0bbbf86783e5bed790d8609f</t>
  </si>
  <si>
    <t>265845</t>
  </si>
  <si>
    <t>ПЕРВЫЕ ЛЮБИМЫЕ КНИЖКИ. Трактор Вик спасает лес</t>
  </si>
  <si>
    <t>978-5-378-35888-5</t>
  </si>
  <si>
    <t>Книжка о том, что сообща можно справиться с любой бедой...</t>
  </si>
  <si>
    <t>9785378358885</t>
  </si>
  <si>
    <t>355e78abe64c2261a0032b34b3e4ade6</t>
  </si>
  <si>
    <t>СЕРИЯ: Я ЧИТАЮ глянц.ламин, КБС 165х240</t>
  </si>
  <si>
    <t>218650</t>
  </si>
  <si>
    <t>Я ЧИТАЮ. 13 страшных историй 144стр</t>
  </si>
  <si>
    <t>978-5-378-34540-3</t>
  </si>
  <si>
    <t>Любишь пощекотать нервы? Тогда скорей открывай эту книгу - сборник жутких рассказов, от которых холодеют руки и бросает в дрожь! Со слов героев, все истории - чистая правда. Но кто знает, может, страшилки - это небылицы ребят, которые соревнуются между собой в фантазии и выдумке?</t>
  </si>
  <si>
    <t>9785378345403</t>
  </si>
  <si>
    <t>d7a25288386735e3240d652e939973bb</t>
  </si>
  <si>
    <t>218651</t>
  </si>
  <si>
    <t>Я ЧИТАЮ. Блокадный танец Ленинграда 128стр</t>
  </si>
  <si>
    <t>978-5-378-34542-7</t>
  </si>
  <si>
    <t>9785378345427</t>
  </si>
  <si>
    <t>eb4a5444bd79951da73fd532a0a4f3f5</t>
  </si>
  <si>
    <t>30.11.2023 0:00:00</t>
  </si>
  <si>
    <t>218647</t>
  </si>
  <si>
    <t>Я ЧИТАЮ. Волшебная песня мышки Поли 128стр</t>
  </si>
  <si>
    <t>978-5-378-34539-7</t>
  </si>
  <si>
    <t>Много лет назад в старом сапоге, брошенном кем-то на берегу реки, поселилось славное мышиное семейство. Долгое время в доме царили тишина и спокойствие, пока не родилась Поли — мышка с удивительно красивым и сильным голосом. Малышка так любила петь, что голосила днями напролёт. Поначалу семья не могла нарадоваться её таланту, но вскоре восторг сменился разочарованием: она ведь больше ничего не умеет! С тех пор Поли только помогала родным по хозяйству. И совсем перестала петь... Но однажды к берегу причалил дядюшка, давно покинувший сапог в поисках морских приключений. Его мечта пока не сбылась, зато он готов помочь голосистой племяннице стать великой певицей...</t>
  </si>
  <si>
    <t>9785378345397</t>
  </si>
  <si>
    <t>Гундер Анастасия Витальевна</t>
  </si>
  <si>
    <t>73870e59b99c7b88f8455259c0bc2666</t>
  </si>
  <si>
    <t>228343</t>
  </si>
  <si>
    <t>Я ЧИТАЮ. Детективное агентство "Чёрный коготь" 80стр</t>
  </si>
  <si>
    <t>978-5-378-34789-6</t>
  </si>
  <si>
    <t>9785378347896</t>
  </si>
  <si>
    <t>aee7b84e742c63f8425a92f112234971</t>
  </si>
  <si>
    <t>218649</t>
  </si>
  <si>
    <t>Я ЧИТАЮ. Исчезновение королевского перстня 144стр</t>
  </si>
  <si>
    <t>978-5-378-34544-1</t>
  </si>
  <si>
    <t>9785378345441</t>
  </si>
  <si>
    <t>3080e1032a57cc8a443e2f240960919b</t>
  </si>
  <si>
    <t>240163</t>
  </si>
  <si>
    <t>Я ЧИТАЮ. Моя весёлая семейка, или Зоопарк на седьмом этаже 80стр</t>
  </si>
  <si>
    <t>978-5-378-35195-4</t>
  </si>
  <si>
    <t>Думаешь, тебя окружают странные люди? Как бы не так! Посмотри вокруг, а лучше прочитай книгу, которую держишь в руках. Весёлая повесть о семье, дружбе и братьях наших меньших, основанная на реальных событиях, непременно поднимет настроение и рассмешит.
В обычной городской многоэтажке живёт 10-летний мальчик с мамой.
Антоша готов помочь всем животным – от обычного ежа до испанского иглистого тритона. Служитель искусства Ольга Викторовна тоже не прочь заселить в квартиру экзотическую живность, но её больше увлекают редкие музыкальные инструменты, способные звучать в унисон с её сердцем.</t>
  </si>
  <si>
    <t>9785378351954</t>
  </si>
  <si>
    <t>e9676b271e0647333ee80b440d8807bf</t>
  </si>
  <si>
    <t>228333</t>
  </si>
  <si>
    <t>Я ЧИТАЮ. Страшные истории нашего двора 96стр</t>
  </si>
  <si>
    <t>978-5-378-34735-3</t>
  </si>
  <si>
    <t>Хорошо тем, кого летом повезли на море. Или, например, отправили в лагерь. Но чем заняться, если все каникулы предстоит провести в городе? Конечно, рассказывать страшилки! Тем более, что можно самому выбрать концовку. Жуткую до дрожи для бывалых или лёгкую для новичков? Давай же, принимай решение!</t>
  </si>
  <si>
    <t>9785378347353</t>
  </si>
  <si>
    <t>9c9661c60c6a32ed727869fe72ffd697</t>
  </si>
  <si>
    <t>240165</t>
  </si>
  <si>
    <t>Я ЧИТАЮ. Тайна молочника из королевского сервиза 80стр</t>
  </si>
  <si>
    <t>978-5-378-35196-1</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</si>
  <si>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«Чёрный коготь» снова в деле!</t>
  </si>
  <si>
    <t>9785378351961</t>
  </si>
  <si>
    <t>f2f059aeeb010efbf5ab328d3c3b0bdc</t>
  </si>
  <si>
    <t>СКАЗКИ</t>
  </si>
  <si>
    <t>СЕРИЯ: 10 СКАЗОК глянц.ламин, тиснение, офсет, 162х216</t>
  </si>
  <si>
    <t>236460</t>
  </si>
  <si>
    <t>10 СКАЗОК (новая) В.Ю. ДРАГУНСКИЙ. ДЕНИСКИНЫ РАССКАЗЫ</t>
  </si>
  <si>
    <t>978-5-378-34800-8</t>
  </si>
  <si>
    <t>В сборник «Денискины рассказы» вошли самые весёлые рассказы Виктора Драгунского о детям. На страницах этой книги детки встретят таких же девчонок и мальчишек, как они сами. Все истории в сборнике поучительные, наполнены глубоким жизненным смыслом. Они расскажут о том, что нельзя обманывать и хитрить, не стоит высмеивать и хвалиться, ведь ни к чему хорошему это никогда не приводит. 
Каждую историю сопровождают яркие, красочные иллюстрации. Они обязательно привлекут внимание и заинтересуют самых маленьких читателей!</t>
  </si>
  <si>
    <t>9785378348008</t>
  </si>
  <si>
    <t>Драгунский Виктор Юзефович</t>
  </si>
  <si>
    <t>757a3d7ad833dae8e22bb530c372441e</t>
  </si>
  <si>
    <t>162х216х13</t>
  </si>
  <si>
    <t>245163</t>
  </si>
  <si>
    <t>10 СКАЗОК (новая) ЗАРУБЕЖНЫЕ СКАЗКИ</t>
  </si>
  <si>
    <t>978-5-378-35326-2</t>
  </si>
  <si>
    <t>В сборник «Зарубежные сказки» вошли самые любимые сказки Шарля Перро, Братьев Гримм и Ганса Христина Андерсена. На страницах этой книги детки встретят Рапунцель, Дюймовочку, Гадкого утёнка, Красную шапочку,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</si>
  <si>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9785378353262</t>
  </si>
  <si>
    <t>Братья Гримм,Андерсен Ганс Христиан,Перро Шарль</t>
  </si>
  <si>
    <t>ccc60d9f8572b710ed596412896c12fd</t>
  </si>
  <si>
    <t>236461</t>
  </si>
  <si>
    <t>10 СКАЗОК (новая) К.И. ЧУКОВСКИЙ. ДЛЯ ДЕТЕЙ</t>
  </si>
  <si>
    <t>978-5-378-34841-1</t>
  </si>
  <si>
    <t>В сборник «Для детей» вошли самые любимые сказки Корнея Ивановича Чуковского.  Эта книга познакомит малышей с творчеством замечательного автора, откроет дверь в удивительный мир его сказочных персонажей. На её страницах ребятам встретятся Айболит, Бармалей, Муха-Цокотуха, Мойдодыр, Тараканище и другие герои. 
Каждую сказку сопровождают яркие, красочные иллюстрации. Они обязательно привлекут внимание и заинтересуют самых маленьких читателей!</t>
  </si>
  <si>
    <t>9785378348411</t>
  </si>
  <si>
    <t>614fb61334cb4826fe2ffb36d6295fcd</t>
  </si>
  <si>
    <t>238443</t>
  </si>
  <si>
    <t>10 СКАЗОК (новая) ЛЮБИМЫЕ СКАЗКИ</t>
  </si>
  <si>
    <t>978-5-378-35110-7</t>
  </si>
  <si>
    <t>В сборник «Любимые сказки» вошли самые любимые русские народные сказки для детей. На страницах этой книги детки встретят Елену Премудрую, Кощея Бессмертного, Ивана-царевича, Марью Моревну, бабу Ягу, трёхглавого змея  и многих других сказочных героев. 
Каждую сказку сопровождают яркие, красочные иллюстрации. Они обязательно привлекут внимание и заинтересуют самых маленьких читателей!</t>
  </si>
  <si>
    <t>9785378351107</t>
  </si>
  <si>
    <t>Афанасьев Александр Николаевич</t>
  </si>
  <si>
    <t>2c5167bf789b974e394ee125a9430ca2</t>
  </si>
  <si>
    <t>236462</t>
  </si>
  <si>
    <t>10 СКАЗОК (новая) РУССКИЕ НАРОДНЫЕ СКАЗКИ</t>
  </si>
  <si>
    <t>978-5-378-34851-0</t>
  </si>
  <si>
    <t>В сборник «Русские народные сказки» вошли самые любимые русские народные сказки для детей. На страницах этой книги детки встретят находчивого Колобка, семейство трёх медведей, хитрую лисичку и доверчивого волка, отважного петушка, прекрасную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</si>
  <si>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9785378348510</t>
  </si>
  <si>
    <t>Ушинский Константин Дмитриевич, Толстой Лев Николаевич, Капица Ольга, Толстой Алексей Николаевич, Афанасьев Александр Николаевич</t>
  </si>
  <si>
    <t>22c76edc6c8159fd92b6fcda1559cefd</t>
  </si>
  <si>
    <t>236459</t>
  </si>
  <si>
    <t>10 СКАЗОК (новая) СКАЗКИ МАЛЫШАМ</t>
  </si>
  <si>
    <t>978-5-378-34921-0</t>
  </si>
  <si>
    <t>В сборник «Сказки малышам» вошли самые любимые русские народные и зарубежные сказки для детей.  На страницах этой книги детки встретят рассерженного медведя, коварного волка, милую Красную Шапочку, находчивого Кота в сапогах, трудолюбивую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</si>
  <si>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9785378349210</t>
  </si>
  <si>
    <t>Ушинский Константин Дмитриевич, Толстой Лев Николаевич, Капица Ольга, Толстой Алексей Николаевич, Братья Гримм, Перро Шарль</t>
  </si>
  <si>
    <t>50e2dd3c2a8c1c42ffeeba5ee648e66e</t>
  </si>
  <si>
    <t>245162</t>
  </si>
  <si>
    <t>10 СКАЗОК (новая) СКАЗКИ НА НОЧЬ</t>
  </si>
  <si>
    <t>978-5-378-35348-4</t>
  </si>
  <si>
    <t>В сборник «Сказки на ночь» вошли самые любимые русские народные сказки для детей. На страницах этой книги детки встретят Курочку Рябу, Колобка, Бабу Ягу,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</si>
  <si>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9785378353484</t>
  </si>
  <si>
    <t>Ушинский Константин Дмитриевич, Толстой Алексей Николаевич, Афанасьев Александр Николаевич, Капица Ольга</t>
  </si>
  <si>
    <t>f4f8cf64b1dafd1c4de03e818b75a823</t>
  </si>
  <si>
    <t>СЕРИЯ: 3 ЛЮБИМЫЕ СКАЗКИ офсет 160 гр, глянц.ламин. 145х203</t>
  </si>
  <si>
    <t>256159</t>
  </si>
  <si>
    <t>3 ЛЮБИМЫЕ СКАЗКИ. КОЛОБОК</t>
  </si>
  <si>
    <t>978-5-378-35625-6</t>
  </si>
  <si>
    <t>Серия «3 любимые сказки» - это сборники лучших детских сказок со всего света. Интересные истории, украшенные яркими иллюстрациями, понравятся детям любых возрастов. Эта книжка откроет маленькому читателю дверцу в волшебный мир.</t>
  </si>
  <si>
    <t>9785378356256</t>
  </si>
  <si>
    <t>в обработке Ушинского Константина Дмитриевича, Толтого Алексея Николаевича, Афанасьева Александра Николаевича</t>
  </si>
  <si>
    <t>fca940b4f4d174a4667aa63ded4b2c81</t>
  </si>
  <si>
    <t>145х203х8</t>
  </si>
  <si>
    <t>256161</t>
  </si>
  <si>
    <t>3 ЛЮБИМЫЕ СКАЗКИ. КРАСНАЯ ШАПОЧКА</t>
  </si>
  <si>
    <t>978-5-378-35628-7</t>
  </si>
  <si>
    <t>9785378356287</t>
  </si>
  <si>
    <t>Перро Шарль, Братья Гримм</t>
  </si>
  <si>
    <t>b3f43e7df26df3d5a361c90d4c72f214</t>
  </si>
  <si>
    <t>256164</t>
  </si>
  <si>
    <t>3 ЛЮБИМЫЕ СКАЗКИ. КУРОЧКА РЯБА</t>
  </si>
  <si>
    <t>978-5-378-35626-3</t>
  </si>
  <si>
    <t>9785378356263</t>
  </si>
  <si>
    <t>в обработке Ушинского Константина Дмитриевича, Афанасьева Александра Николаевича</t>
  </si>
  <si>
    <t>f0de618e0dc4508c01ba4dbe210a882c</t>
  </si>
  <si>
    <t>256165</t>
  </si>
  <si>
    <t>3 ЛЮБИМЫЕ СКАЗКИ. РЕПКА</t>
  </si>
  <si>
    <t>978-5-378-35627-0</t>
  </si>
  <si>
    <t>9785378356270</t>
  </si>
  <si>
    <t>в обработке Толстого Алексея Николаевича, Ушинского Константина Дмитриевича</t>
  </si>
  <si>
    <t>8a02d6312184341f2c8bafb7bd1078ac</t>
  </si>
  <si>
    <t>СЕРИЯ: 3 ЛЮБИМЫХ СКАЗКИ офсет 100 гр, глянц.ламин. 140х200</t>
  </si>
  <si>
    <t>027923</t>
  </si>
  <si>
    <t>ТРИ ЛЮБИМЫХ СКАЗКИ. ДВА ВЕСЁЛЫХ ГУСЯ</t>
  </si>
  <si>
    <t>978-5-378-20301-7</t>
  </si>
  <si>
    <t>В этом ярком сборнике вы найдете три прекрасные потешки, которые обязательно понравятся даже самым юным читателям. Красочные иллюстрации захватят внимание вашего ребенка, а простые и интересные строки он сможет не только с интересом прочесть, но и наверняка с лёгкостью выучит многие из них наизусть!</t>
  </si>
  <si>
    <t>9785378203017</t>
  </si>
  <si>
    <t>22.09.2017 0:00:00</t>
  </si>
  <si>
    <t>Три любимых сказки</t>
  </si>
  <si>
    <t>140x200x6</t>
  </si>
  <si>
    <t>027925</t>
  </si>
  <si>
    <t>ТРИ ЛЮБИМЫХ СКАЗКИ. ЗАЮШКИНА ИЗБУШКА</t>
  </si>
  <si>
    <t>978-5-378-20294-2</t>
  </si>
  <si>
    <t>В этой красочной книге собраны три русские народные сказки о животных: «Заюшкина избушка», «Зимовье зверей» и «Рукавичка». Они расскажут вашему ребенку о важности дружбы и взаимовыручки, о том, что хорошо, а что плохо. А яркие иллюстрации сделают чтение похожим на подлинное приключение рядом с любимыми персонажами.</t>
  </si>
  <si>
    <t>9785378202942</t>
  </si>
  <si>
    <t>21.11.2017 0:00:00</t>
  </si>
  <si>
    <t>027915</t>
  </si>
  <si>
    <t>ТРИ ЛЮБИМЫХ СКАЗКИ. КОЛОБОК</t>
  </si>
  <si>
    <t>978-5-378-20378-9</t>
  </si>
  <si>
    <t>В этой книге вас и вашего ждут любимые русские народные сказки о самых любимых и известных героях: о веселом и забавном Колобке, который от всех убегал, о курочке Рябе и ее необычном яичке, и о хитром мужике и медведе, которые делили общий урожай. А яркие иллюстрации добавят новые краски в знакомые истории.</t>
  </si>
  <si>
    <t>9785378203789</t>
  </si>
  <si>
    <t>14382d53b5a62bbebae334f1386c1d3f</t>
  </si>
  <si>
    <t>027929</t>
  </si>
  <si>
    <t>ТРИ ЛЮБИМЫХ СКАЗКИ. ЛИСИЧКА-СЕСТРИЧКА И ВОЛК</t>
  </si>
  <si>
    <t>978-5-378-20295-9</t>
  </si>
  <si>
    <t>Народные сказки из этого красочного сборника расскажут вашему ребенку о хитрости и о честности, о правильном и неправильном, и покажут, что добрые поступки добром и оборачиваются, а дурные не утаишь. Эти прекрасные сказки заставят ребенка задуматься, а яркие и красивые иллюстрации увлекут в сказочный мир. В сборник вошли сказки «Лисичка-сестричка и волк», «Петушок и чудо-меленка» и «Соломенный бычок — смоляной бочок».</t>
  </si>
  <si>
    <t>9785378202959</t>
  </si>
  <si>
    <t>cec9a1da0fae995a4daab2ca0c64204b</t>
  </si>
  <si>
    <t>027930</t>
  </si>
  <si>
    <t>ТРИ ЛЮБИМЫХ СКАЗКИ. ПЕТУШОК-ЗОЛОТОЙ ГРЕБЕШОК</t>
  </si>
  <si>
    <t>978-5-378-20296-6</t>
  </si>
  <si>
    <t>Три любимых сказки ждут вас и вашего малыша на страницах этого сборника: «Петушок-золотой гребешок», «Мальчик-с-пальчик» и «Лисичка со скалочкой». Эти добрые, поучительные, занимательные истории никогда не смогут надоесть. Как весело снова и снова читать о забавных приключениях хитрой лисички, о храбром Мальчике-с-пальчике и задорном петушке. Книгу полюбят даже самые маленькие благодаря ярким интересным иллюстрациям.</t>
  </si>
  <si>
    <t>9785378202966</t>
  </si>
  <si>
    <t>6acf2d643209976daa2392066fd01a8d</t>
  </si>
  <si>
    <t>18.10.2017 0:00:00</t>
  </si>
  <si>
    <t>027931</t>
  </si>
  <si>
    <t>ТРИ ЛЮБИМЫХ СКАЗКИ. ПО ЩУЧЬЕМУ ВЕЛЕНЬЮ</t>
  </si>
  <si>
    <t>978-5-378-20302-4</t>
  </si>
  <si>
    <t>Три любимых сказки ждут вас и вашего малыша на страницах этого сборника: «По щучьему веленью», «Петушок и курочка» и «Лиса и дрозд». Истории отлично подходят для первого знакомства вашего ребёнка с русским фольклором. Малышу обязательно понравятся весёлые и забавные герои, попадающие в интересные захватывающие приключения.</t>
  </si>
  <si>
    <t>9785378203024</t>
  </si>
  <si>
    <t>под ред. А. Дюжиковой</t>
  </si>
  <si>
    <t>027933</t>
  </si>
  <si>
    <t>ТРИ ЛЮБИМЫХ СКАЗКИ. СЕСТРИЦА АЛЁНУШКА И БРАТЕЦ ИВАНУШКА</t>
  </si>
  <si>
    <t>978-5-378-20303-1</t>
  </si>
  <si>
    <t>Три любимых сказки ждут вас и вашего малыша на страницах этого сборника: «Сестрица Алёнушка и братец Иванушка», «Три медведя» и «Золушка-чернушка». Яркая обложка, красочные весёлые иллюстрации, захватывающие сюжеты не смогут никого оставить равнодушным. Истории подходят как для дневного чтения, так и для чтения на ночь. Малыши с радостью послушают сказки, на которых выросли их мамы и папы, бабушки и дедушки.</t>
  </si>
  <si>
    <t>9785378203031</t>
  </si>
  <si>
    <t>483fe2a25826d47106049c9acb789982</t>
  </si>
  <si>
    <t>027934</t>
  </si>
  <si>
    <t>ТРИ ЛЮБИМЫХ СКАЗКИ. СОРОКА-БЕЛОБОКА</t>
  </si>
  <si>
    <t>978-5-378-20304-8</t>
  </si>
  <si>
    <t>Три любимых потешки ждут вас и вашего малыша на страницах этого сборника: «Сорока-белобока», «Серенький козлик» и «Топ-топ топотушки». Потешки — детские весёлые стишки, которые отлично подходят для чтения взрослыми даже самым маленьким деткам. Ритм, рифма и разнообразие интонаций подарят ребёнку море положительных впечатлений. Книга станет отличным дополнением любой детской книжной полки.</t>
  </si>
  <si>
    <t>9785378203048</t>
  </si>
  <si>
    <t>773130a7de7501ee697922e11662e102</t>
  </si>
  <si>
    <t>027916</t>
  </si>
  <si>
    <t>ТРИ ЛЮБИМЫХ СКАЗКИ. ТЕРЕМОК</t>
  </si>
  <si>
    <t>978-5-378-20380-2</t>
  </si>
  <si>
    <t>Три любимых сказки ждут вас и вашего малыша на страницах этого сборника: «Теремок», «Репка» и «Каша из топора». Эти истории, на которых выросло не одно поколение детей, никогда не смогут выйти из моды. «Теремок» расскажет о дружбе, «Репка» — о помощи и взаимовыручке, а «Каша из топора» - о хитрости и находчивости. Из каждой истории ваш малыш обязательно вынесет важный урок.</t>
  </si>
  <si>
    <t>9785378203802</t>
  </si>
  <si>
    <t>667497f535e544fcb293e3d916fd1acb</t>
  </si>
  <si>
    <t>027936</t>
  </si>
  <si>
    <t>ТРИ ЛЮБИМЫХ СКАЗКИ. У ЛУКОМОРЬЯ ДУБ ЗЕЛЁНЫЙ</t>
  </si>
  <si>
    <t>978-5-378-20305-5</t>
  </si>
  <si>
    <t>Три любимых произведения великого Александра Сергеевича Пушкина ждут вас и вашего малыша на страницах этого сборника: «У лукоморья дуб зелёный...», «Сказка о рыбаке и рыбке» и «Сказка о золотом петушке». Знакомство с творчеством такого потрясающего писателя как Александр Сергеевич должно произойти как можно раньше. Ведь именно такие потрясающие классические произведения сформируют у малыша отличный литературный и художественный вкус.</t>
  </si>
  <si>
    <t>9785378203055</t>
  </si>
  <si>
    <t>Пушкин Александр Сергеевич</t>
  </si>
  <si>
    <t>c434b37fd4c186c7c6ae5a5ead09fc13</t>
  </si>
  <si>
    <t>СЕРИЯ: БОЛЬШАЯ КНИГА СКАЗОК ДЛЯ МАЛЫШЕЙ тиснение, глянц.ламин. офсет 55 гр, 170х215</t>
  </si>
  <si>
    <t>091791</t>
  </si>
  <si>
    <t>БОЛЬШАЯ КНИГА ЗНАНИЙ</t>
  </si>
  <si>
    <t>978-5-378-28786-4</t>
  </si>
  <si>
    <t>Перед вами действительно большая книга знаний! В ней собраны самые разнообразные сведения, факты, задания и упражнения, которые будут полезны и интересны для каждого дошкольника. Ребёнок сможет не только закрепить уже имеющиеся знания, но и получит новые, которые пригодятся в его школьной жизни.</t>
  </si>
  <si>
    <t>9785378287864</t>
  </si>
  <si>
    <t>Лаврухина Ирина Александровна,Брагинец Наталья Владимировна,Купырина Анна Михайловна</t>
  </si>
  <si>
    <t>170x215x24</t>
  </si>
  <si>
    <t>240172</t>
  </si>
  <si>
    <t>БОЛЬШАЯ КНИГА СКАЗОК ДЛЯ МАЛЫШЕЙ. 250 СКАЗОК, СТИХОВ И БАСЕН</t>
  </si>
  <si>
    <t>978-5-378-35194-7</t>
  </si>
  <si>
    <t>250 разнообразных произведений для малышей в одной книге — что может быть лучше?! Загадки, стихи, потешки, сказки и басни — всё это ждёт читателей на страницах сборника. Загляните в книгу и попадите в мир увлекательных историй, весёлых приключений и смелых героев!</t>
  </si>
  <si>
    <t>9785378351947</t>
  </si>
  <si>
    <t>9d593d3237bb6a9fb04f11c772f1df8b</t>
  </si>
  <si>
    <t>тиснение, 7 БЦ</t>
  </si>
  <si>
    <t>Большая книга сказок для малышей</t>
  </si>
  <si>
    <t>110560</t>
  </si>
  <si>
    <t>БОЛЬШАЯ КНИГА СКАЗОК ДЛЯ МАЛЫШЕЙ. А.С. ПУШКИН. СТИХИ И СКАЗКИ</t>
  </si>
  <si>
    <t>978-5-378-29308-7</t>
  </si>
  <si>
    <t>Перед вами сборник произведений великого русского поэта Александра Сергеевича Пушкина. Внутри вы найдёте все его сказки, самые известные стихотворения, которые включены в школьную программу, а также поэму "Руслан и Людмила".</t>
  </si>
  <si>
    <t>9785378293087</t>
  </si>
  <si>
    <t>164972</t>
  </si>
  <si>
    <t>БОЛЬШАЯ КНИГА СКАЗОК ДЛЯ МАЛЫШЕЙ. ВСЕ СКАЗКИ ДЛЯ МАЛЫШЕЙ</t>
  </si>
  <si>
    <t>978-5-378-31868-1</t>
  </si>
  <si>
    <t>В книге собраны первые, самые популярные и любимые сказки для малышей - как русские, так и зарубежные. Поучительные истории, необыкновенные приключения, весёлые и забавные герои, а также качественные современные иллюстрации - всё это ждёт ваших малышей, стоит только открыть книгу!</t>
  </si>
  <si>
    <t>9785378318681</t>
  </si>
  <si>
    <t>0fcfb21dc6d7f7d951a53abd17899dd8</t>
  </si>
  <si>
    <t>078819</t>
  </si>
  <si>
    <t>БОЛЬШАЯ КНИГА СКАЗОК ДЛЯ МАЛЫШЕЙ. КОРНЕЙ ЧУКОВСКИЙ. СТИХИ И СКАЗКИ</t>
  </si>
  <si>
    <t>978-5-378-28099-5</t>
  </si>
  <si>
    <t>Сказки и стих Корнея Чуковского - одни из самых популярных и прекрасных литературных произведений для детей. Не одно поколение выросло на этих замечательных историях. Внутри этой удивительной книги вас ждут любимые герои: Айболит, Мойдодыр и многие другие. Добрые и весёлые иллюстрации помогут заинтересовать даже самых юных слушателей и читателей.</t>
  </si>
  <si>
    <t>9785378280995</t>
  </si>
  <si>
    <t>26.02.2018 0:00:00</t>
  </si>
  <si>
    <t>078816</t>
  </si>
  <si>
    <t>БОЛЬШАЯ КНИГА СКАЗОК ДЛЯ МАЛЫШЕЙ. РУССКИЕ НАРОДНЫЕ СКАЗКИ</t>
  </si>
  <si>
    <t>978-5-378-28364-4</t>
  </si>
  <si>
    <t>Русские народные сказки занимают особое место в детской литературе. Знакомство с русским фольклором - неотъемлемая часть воспитания ребёнка. Замечательные, интересные и поучительные истории, собранные в этой книге, помогут привить любовь к чтению и русской культуре, а яркие иллюстрации сделают сборник настоящим украшением детской библиотеки.</t>
  </si>
  <si>
    <t>9785378283644</t>
  </si>
  <si>
    <t>под ред. А. Лобко</t>
  </si>
  <si>
    <t>157b3bcd31a887c67af9a83d0f18f78f</t>
  </si>
  <si>
    <t>215235</t>
  </si>
  <si>
    <t>БОЛЬШАЯ КНИГА СКАЗОК ДЛЯ МАЛЫШЕЙ. САМЫЕ СМЕШНЫЕ РАССКАЗЫ О ШКОЛЬНИКАХ</t>
  </si>
  <si>
    <t>978-5-378-34493-2</t>
  </si>
  <si>
    <t>Школа - это самое важное время в жизни каждого мальчишки и девчонки! Оно весёлое и грустное, сложное, смелое, доброе! В этой книге собраны рассказы любимых авторов, посвящённые счастливому школьному времени. Многими из них зачитывается уже не первое поколение учеников. Тексты сопровождаются красочными иллюстрациями современных художников. Скорее открывайте книгу и погружайтесь в волшебный мир детства!</t>
  </si>
  <si>
    <t>9785378344932</t>
  </si>
  <si>
    <t>Драгунский Виктор Юзефович,Добош Елена,Георгиев Сергей,Кургузов Олег Флавьевич,Пантелеев Леонид,Осеева Валентина Александровна,Антонова Ирина Алексеевна</t>
  </si>
  <si>
    <t>263071b4677d6892cc8d67c1594f2e5b</t>
  </si>
  <si>
    <t>159113</t>
  </si>
  <si>
    <t>БОЛЬШАЯ КНИГА СКАЗОК ДЛЯ МАЛЫШЕЙ. СКАЗКИ И РАССКАЗЫ РУССКИХ ПИСАТЕЛЕЙ</t>
  </si>
  <si>
    <t>978-5-378-31468-3</t>
  </si>
  <si>
    <t>В этой замечательной книге собраны знаменитые произведения русских писателей, ставшие классикой детской литературы. Поучительные истории расскажут о добре и справедливости, взаимовыручке и настоящей дружбе. Красочные иллюстрации никого не оставят равнодушным и помогут превратить семейное чтение в настоящую традицию.</t>
  </si>
  <si>
    <t>9785378314683</t>
  </si>
  <si>
    <t>Ушинский Константин Дмитриевич,Толстой Алексей Николаевич,Мамин-Сибиряк Дмитрий Наркисович,Толстой Лев Николаевич,Пришвин Михаил Михайлович,Бажов Павел Петрович,Чарская Лидия Алексеевна,Платонов Андрей Платонович,Бианки Виталий Валентинович</t>
  </si>
  <si>
    <t>cf67218a1919fc1e953e07b25b5d4ff6</t>
  </si>
  <si>
    <t>268486</t>
  </si>
  <si>
    <t>БОЛЬШАЯ КНИГА СКАЗОК ДЛЯ МАЛЫШЕЙ. СКАЗКИ СИНЕГО ТРАКТОРА</t>
  </si>
  <si>
    <t>978-5-378-35915-8</t>
  </si>
  <si>
    <t>На страницах этой книги малыши и их родители найдут рассказы о новых приключениях Синего Трактора, любимые русские народные и зарубежные сказки, а также весёлые истории о том, как Синий Трактор и его друзья — Поливалка, Грузовик и Каток — играют на детской площадке, познают мир вокруг, учатся дружить, признавать свои ошибки и помогать друг другу. Читайте вместе с любимыми героями!</t>
  </si>
  <si>
    <t>9785378359158</t>
  </si>
  <si>
    <t>Васягина Веста Анатольевна,Толстой Лев Николаевич,Андерсен Ганс Христиан и др</t>
  </si>
  <si>
    <t>68af2582967e8199eaacd15434079856</t>
  </si>
  <si>
    <t>СЕРИЯ: ВСЯ КЛАССИКА ДЕТСКОЙ ЛИТЕРАТУРЫ мат.лами, выб.лак, офсет, 145х203</t>
  </si>
  <si>
    <t>248051</t>
  </si>
  <si>
    <t>ВСЕ ДЕНИСКИНЫ РАССКАЗЫ мат.ламин, выбор.лак, офсет. 147х203</t>
  </si>
  <si>
    <t>978-5-378-35446-7</t>
  </si>
  <si>
    <t>«Денискины рассказы» Виктора Драгунского — это сборник весёлых и добрых историй о детстве, написанных от лица мальчика Дениса Кораблёва. Автор с юмором описывает повседневные вещи, при этом затрагивая важные этические вопросы, такие как дружба, семейные взаимоотношения, отзывчивость, умение брать на себя ответственность, трусость и подстрекательство, ложь старшим и многое другое.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t>
  </si>
  <si>
    <t>9785378354467</t>
  </si>
  <si>
    <t>3410e53c9cc01bfc74662ee15761ee7e</t>
  </si>
  <si>
    <t>143х203х25</t>
  </si>
  <si>
    <t>249527</t>
  </si>
  <si>
    <t>ВСЕ СКАЗКИ ДЛЯ МАЛЫШЕЙ мат.лам, выб.лак, офсет. 147х203</t>
  </si>
  <si>
    <t>978-5-378-35480-1</t>
  </si>
  <si>
    <t>В этой книге собраны самые любимые русские народные и зарубежные сказки. Курочка Ряба, Колобок, Серый волк, Лисичка, Петушок-золотой гребешок, Гуси-лебеди, Красная Шапочка, Кот в сапогах, Дюймовочка и многие другие сказочные персонажи встретятся малышам на её страницах. Они научат детей не расстраиваться по пустякам, быть находчивыми и решительными, покажут как важно ответственно выполнять поручения родителей, отличать добро от зла, не верить незнакомцам и быть осторожными, расскажут о хитрости, честности и жадности. Каждую сказочную историю сопровождают иллюстрации. Они обязательно привлекут внимание и заинтересуют самых маленьких читателей!</t>
  </si>
  <si>
    <t>9785378354801</t>
  </si>
  <si>
    <t>e928eb2b8e982780d1b8a0cf6bad8586</t>
  </si>
  <si>
    <t>248049</t>
  </si>
  <si>
    <t>ВСЕ СКАЗКИ И СТИХИ А.С. ПУШКИНА мат.ламин, выбор.лак, офсет. 147х203</t>
  </si>
  <si>
    <t>978-5-378-35436-8</t>
  </si>
  <si>
    <t>Заглянув в эту книгу, вы погрузитесь в удивительный мир, созданный непревзойдённым слогом Александра Сергеевича Пушкина. Сборник включает все сказки великого русского поэта, знаменитую поэму «Руслан и Людмила» и «Песнь о Вещем Олеге», а также стихотворения классика, включённые в школьную программу. Пушкин не только увлекает читателя в мир сказочных событий, но и затрагивает важные темы, такие как добро и зло, любовь и предательство, награда и наказание. Его произведения всегда остаются актуальными, ведь они учат справедливости и мудрости, а также развивают воображение. Эта книга станет прекрасным дополнением вашей домашней детской библиотеки!</t>
  </si>
  <si>
    <t>9785378354368</t>
  </si>
  <si>
    <t>e038989c0f568675cea2c3db10946224</t>
  </si>
  <si>
    <t>255310</t>
  </si>
  <si>
    <t>ВСЕ СКАЗКИ КОРНЕЯ ЧУКОВСКОГО мат.ламин, выбор.лак, офсет. 147х203</t>
  </si>
  <si>
    <t>978-5-378-35613-3</t>
  </si>
  <si>
    <t>Этот сборник познакомит малышей с творчеством Корнея Ивановича Чуковского, откроет дверь в удивительный мир его сказочных персонажей. На страницах книги ребятам встретятся Айболит, Бармалей, Муха-Цокотуха, Мойдодыр, Тараканище и другие герои.
Дети узнают, что значит доброта, смелость, чистоплотность и сочувствие, и поймут, как важно уметь постоять за себя, не бояться трудностей, быть честным и слушаться родителей. Каждую сказочную историю сопровождают иллюстрации. Они обязательно привлекут внимание и заинтересуют самых маленьких читателей!</t>
  </si>
  <si>
    <t>9785378356133</t>
  </si>
  <si>
    <t>a224329e6d1c08110fad07faa9ebb4ef</t>
  </si>
  <si>
    <t>СЕРИЯ: КОЛЛЕКЦИОННАЯ СЕРИЯ (С ВЫРУБКОЙ) офсет, глиттер, мелов.бум.,тв.обл. 200х255</t>
  </si>
  <si>
    <t>031373</t>
  </si>
  <si>
    <t>К.С. (С ВЫРУБКОЙ) ТРИ ТОЛСТЯКА</t>
  </si>
  <si>
    <t>978-5-378-24798-1</t>
  </si>
  <si>
    <t>Знаменитая сказка Юрия Олеши "Три толстяка" обязательно понравится ребятам. В ней столько удивительных приключений, ярких и запоминающихся героев! Добро и справедливость в этой сказке торжествуют над злом и жестокостью,а прекрасные иллюстрации Евгении Иванеевой удивительно гармонируют с содержанием произведения.</t>
  </si>
  <si>
    <t>9785378247981</t>
  </si>
  <si>
    <t>Олеша Юрий Карлович</t>
  </si>
  <si>
    <t>12.04.2016 0:00:00</t>
  </si>
  <si>
    <t>Коллекционная серия (с вырубкой)</t>
  </si>
  <si>
    <t>200x255x14</t>
  </si>
  <si>
    <t>СЕРИЯ: КОЛЛЕКЦИЯ ЛУЧШИХ СКАЗОК мат.ламин, выб.лак КБС 155х210</t>
  </si>
  <si>
    <t>265107</t>
  </si>
  <si>
    <t>КОЛЛЕКЦИЯ ЛУЧШИХ СКАЗОК. Денискины рассказы</t>
  </si>
  <si>
    <t>978-5-378-35868-7</t>
  </si>
  <si>
    <t xml:space="preserve">«Денискины рассказы» Виктора Драгунского — это сборник весёлых и добрых историй о детстве, написанных от лица мальчика Дениса Кораблёва. В сборнике 27 рассказов, среди которых: «Девочка на шаре», «Он живой и светится», «Главные реки Америки», «Заколдованная буква», «Двадцать лет под кроватью» и многие другие.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 </t>
  </si>
  <si>
    <t>9785378358687</t>
  </si>
  <si>
    <t>dfbb8d14672cfc15f17e5dab056035d3</t>
  </si>
  <si>
    <t>155х210х18</t>
  </si>
  <si>
    <t>265108</t>
  </si>
  <si>
    <t>КОЛЛЕКЦИЯ ЛУЧШИХ СКАЗОК. Сказки Г.Х.Андерсена</t>
  </si>
  <si>
    <t>978-5-378-35869-4</t>
  </si>
  <si>
    <t>На страницах этой книги собраны самые известные и любимые сказки великого датского писателя Ганса Христиана Андерсена. Читатель познакомится со сказками «Ганс Чурбан», «Гадкий утёнок», «Оле-Лукойе», «Огниво», «Дюймовочка» и многими другими, которые учат дружбе, смелости и доброте. Каждая история переносит юных читателей в мир фантазии, где оживают удивительные персонажи: храбрые принцессы, мудрые животные и добрые волшебники. Увлекательные сюжеты не только принесут детям радость, но и заставят задуматься о главных жизненных ценностях.</t>
  </si>
  <si>
    <t>9785378358694</t>
  </si>
  <si>
    <t>2d154f3082e0fc7139679e39fa72f281</t>
  </si>
  <si>
    <t>СЕРИЯ: ЛУЧШЕЕ ДЛЯ НАШИХ МАЛЫШЕЙ офсет 100гр, глянц.ламин. 145х200</t>
  </si>
  <si>
    <t>222326</t>
  </si>
  <si>
    <t>ЛУЧШЕЕ ДЛЯ НАШИХ МАЛЫШЕЙ. Малышам о насекомых</t>
  </si>
  <si>
    <t>978-5-378-34614-1</t>
  </si>
  <si>
    <t>Малыш, скорее открывай книгу! Внутри ты найдёшь четыре увлекательные истории о божьей коровке, улитке, муравье и пчёлке. Эти насекомые такие удивительные! Божья коровка борется с тлёй и другими вредителями, улитка всегда носит свой дом с собой, у муравьишки самая большая семья, а пчёлка целыми днями собирает нектар. Очаровательные букашки расскажут тебе много интересного о своей жизни, привычках и увлечениях! Обещаем, будет интересно!</t>
  </si>
  <si>
    <t>9785378346141</t>
  </si>
  <si>
    <t>d54f0434b0388f78e0dab0d58695aa8f</t>
  </si>
  <si>
    <t>220559</t>
  </si>
  <si>
    <t>ЛУЧШЕЕ ДЛЯ НАШИХ МАЛЫШЕЙ. Малышам о транспорте</t>
  </si>
  <si>
    <t>978-5-378-34445-1</t>
  </si>
  <si>
    <t>Малыш, скорее открывай книгу! Внутри ты найдёшь четыре увлекательные истории об автобусе, вертолёте, корабле и подводной лодке. Они такие разные: кто-то передвигается по воде, кто-то по воздуху, а кто-то по дороге. У каждого транспортного средства есть водитель, пилот или капитан. Они расскажут тебе много интересного о своих стальных друзьях, их особенностях и возможностях. Обещаем, будет интересно!</t>
  </si>
  <si>
    <t>9785378344451</t>
  </si>
  <si>
    <t>Лобко Анастасия,Строителева Анна Михайловна</t>
  </si>
  <si>
    <t>84ad5f2eb055ea66d9e410f857ef54e6</t>
  </si>
  <si>
    <t>СЕРИЯ: ЛЮБИМЫЕ СКАЗКИ (ПОДАРОЧНЫЕ) офсет, глянц.ламин, тв.обл. 203х257</t>
  </si>
  <si>
    <t>018931</t>
  </si>
  <si>
    <t>Л.С. ДЕНИСКИНЫ РАССКАЗЫ 96с.</t>
  </si>
  <si>
    <t>978-5-378-05015-4</t>
  </si>
  <si>
    <t>В книгу вошли самые лучшие произведения из цикла Виктора Драгунского «Денискины рассказы», полюбившиеся уже не одному поколению читателей. В них раскрывается удивительный, радостный и светлый мир детства. Забавные и смешные истории, о которых повествует Денис Кораблев, не теряют своей актуальности и по-прежнему вызывают у юных читателей горячий интерес. Дети обязательно оценят эту книгу! «Денискины рассказы» принесут им много положительных эмоций и впечатлений. В издании представлены замечательные иллюстрации Надежды Пономаревой.</t>
  </si>
  <si>
    <t>9785378050154</t>
  </si>
  <si>
    <t>Любимые сказки (подарочные)</t>
  </si>
  <si>
    <t>200x265x13</t>
  </si>
  <si>
    <t>016731</t>
  </si>
  <si>
    <t>Л.С. КРЫЛОВ. БАСНИ МАЛЫШАМ</t>
  </si>
  <si>
    <t>978-5-378-02563-3</t>
  </si>
  <si>
    <t>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</si>
  <si>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9785378025633</t>
  </si>
  <si>
    <t>Крылов Иван Андреевич</t>
  </si>
  <si>
    <t>8f1c8604e9da2bc193bfc97661dcd2bd</t>
  </si>
  <si>
    <t>203х257х8</t>
  </si>
  <si>
    <t>004855</t>
  </si>
  <si>
    <t>Л.С. СКАЗКИ АНДЕРСЕНА</t>
  </si>
  <si>
    <t>978-5-94582-037-1</t>
  </si>
  <si>
    <t>Сказки Ганса Христиана Андерсена уже давным-давно стали классикой мировой детской литературы. Сложно найти человека, который не знает их. Сборник произведений этого писателя обязательно должен быть в каждом доме. В данном издании собраны самые известные истории: «Гадкий утёнок», «Русалочка», «Оловянный солдатик», «Дюймовочка» и другие. Трогательные и душевные сказки не могут никого оставить равнодушным. А замечательное художественное оформление иллюстратора Виктора Нечитайло отлично сочетается с тканью повествования.</t>
  </si>
  <si>
    <t>9785945820371</t>
  </si>
  <si>
    <t>26.12.2017 0:00:00</t>
  </si>
  <si>
    <t>171773</t>
  </si>
  <si>
    <t>Л.С. СКАЗКИ ДЯДЮШКИ РИМУСА</t>
  </si>
  <si>
    <t>978-5-378-32272-5</t>
  </si>
  <si>
    <t>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</si>
  <si>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9785378322725</t>
  </si>
  <si>
    <t>Харрис Джоэль Чандлер</t>
  </si>
  <si>
    <t>004864</t>
  </si>
  <si>
    <t xml:space="preserve">Л.С. СКАЗКИ. БРАТЬЯ ГРИММ </t>
  </si>
  <si>
    <t>978-5-378-00154-5</t>
  </si>
  <si>
    <t>Сказки о Красной Шапочке, Золушке, коте в сапогах и другие, знакомые с детства любому ребёнку, называют «культурным наследием человечества». Эту почётную квалификацию сказкам присвоила ООН (ЮНЕСКО). Сборник, в который вошли упомянутые сказки, создали немецкие писатели братья Якоб и Вильгельм Гримм в начале XIX века. С тех пор они переведены на сотни языков. Братья Гримм не писали сами, они составляли сборники сказок. Они разыскали, издали, перевели и прокомментировали многие памятники германских, романских, скандинавских и кельтских древностей.</t>
  </si>
  <si>
    <t>9785378001545</t>
  </si>
  <si>
    <t>94fa6b18c24604f6c1ff233f8c0bbd56</t>
  </si>
  <si>
    <t>058136</t>
  </si>
  <si>
    <t>Л.С. УРФИН ДЖЮС И ЕГО ДЕРЕВЯННЫЕ СОЛДАТЫ (новая) 160с.</t>
  </si>
  <si>
    <t>978-5-378-27022-4</t>
  </si>
  <si>
    <t>Эта книга станет чудесным открытием для любителей приключений девочки Элли и её верных друзей: Тотошки, Страшилы, Железного Дровосека, Смелого Льва и многих других! После избавления Волшебной страны от злых волшебниц Гингемы и Бастинды жители вздохнули с облегчением, но не тут-то было. Появилась новая напасть: угрюмый Урфин Джюс и его необычные помощники... Ребята всех возрастов будут переживать вместе с героями все приключения, эта книга, уже ставшая классикой, никого не оставит равнодушным, в том числе благодаря добрым и красочным иллюстрациям Юлии Габазовой и удобному формату.</t>
  </si>
  <si>
    <t>9785378270224</t>
  </si>
  <si>
    <t>07.03.2018 0:00:00</t>
  </si>
  <si>
    <t>200х255х13</t>
  </si>
  <si>
    <t>007157</t>
  </si>
  <si>
    <t>Л.С. ЧУКОВСКИЙ. СТИХИ И СКАЗКИ (ЗЕЛЕНАЯ)</t>
  </si>
  <si>
    <t>978-5-94582-145-3</t>
  </si>
  <si>
    <t>Стихи и сказки Корнея Чуковского знает и любит не одно поколение читателей. Его произведения заслуженно стали классикой детской литературы, и без них сегодня не обходится ни одна домашняя библиотека. Этот ярко иллюстрированный сборник познакомит маленьких читателей с такими сказками Чуковского, как «Айболит», «Мойдодыр», «Федорино горе», «Муха-Цокотуха», «Тараканище» и многими другими. Добрые и веселые, они научат ребенка различать, где добро и зло, научат поступать справедливо и правильно. Чтение книги «Стихи и сказки» не только скрасит досуг малыша, но и принесет много пользы.</t>
  </si>
  <si>
    <t>9785945821453</t>
  </si>
  <si>
    <t>448413d4124dc09d8af5b0641944b070</t>
  </si>
  <si>
    <t>059447</t>
  </si>
  <si>
    <t>Л.С. ШАРЛЬ ПЕРРО. СКАЗКИ</t>
  </si>
  <si>
    <t>978-5-378-27123-8</t>
  </si>
  <si>
    <t>Шарль Перро — один из самых известных собирателей сказок. Он объездил не одну французскую провинцию в поисках волшебных сюжетов. И вот самые популярные сказки того времени вы держите в руках: Золушка, Красная Шапочка, Кот в сапогах... А об остальных вы узнаете, прочитав эту книгу, наполненную магией и загадками.</t>
  </si>
  <si>
    <t>9785378271238</t>
  </si>
  <si>
    <t>Перро Шарль</t>
  </si>
  <si>
    <t>209a289b2a2de6c2f11348e7cfb8114f</t>
  </si>
  <si>
    <t>СЕРИЯ: МОЯ БИБЛИОТЕКА офсет 100гр, глянц.ламин. 130х205</t>
  </si>
  <si>
    <t>198342</t>
  </si>
  <si>
    <t>МОЯ БИБЛИОТЕКА. Ромашки для Наташки 80 стр</t>
  </si>
  <si>
    <t>978-5-378-34144-3</t>
  </si>
  <si>
    <t>Никогда Илье не нравилась Наташка. Ещё бы! Мало того, что отличница, так ещё болтушка и ябеда! Да только жалко её стало, когда новый учитель влепил тройку по математике. Захотелось как-то порадовать. А тут как раз на уроке рисования и случай подвернулся... В этом сборнике представлен не только трогательный рассказ «Ромашки для Наташки», но ещё четыре поучительные истории из школьной жизни. Образы героев будто списаны со знакомых мальчишек и девчонок. Интересно, узнаете ли вы в них своих одноклассников?</t>
  </si>
  <si>
    <t>9785378341443</t>
  </si>
  <si>
    <t>130х205х10</t>
  </si>
  <si>
    <t>195218</t>
  </si>
  <si>
    <t>МОЯ БИБЛИОТЕКА. Сундучок храбрости 96 стр</t>
  </si>
  <si>
    <t>978-5-378-34059-0</t>
  </si>
  <si>
    <t>Это история о настоящей дружбе, доброте, оптимизме и жизнелюбии.
Женька впервые попадает в отделение детской больницы и узнает, что ему предстоит пробыть там несколько дней без мамы. Справиться со страхами ему помогают новые друзья, у которых есть небольшой сундучок с волшебным секретом...</t>
  </si>
  <si>
    <t>9785378340590</t>
  </si>
  <si>
    <t>be153e2442cb4c0e7198d398f69e9ec8</t>
  </si>
  <si>
    <t>195220</t>
  </si>
  <si>
    <t>МОЯ БИБЛИОТЕКА. Чудесная песня мышки Поли 128 стр</t>
  </si>
  <si>
    <t>978-5-378-34060-6</t>
  </si>
  <si>
    <t>9785378340606</t>
  </si>
  <si>
    <t>СЕРИЯ: САМЫМ МАЛЕНЬКИМ офсет 160 гр, глянц.ламин. 200х200</t>
  </si>
  <si>
    <t>173214</t>
  </si>
  <si>
    <t>САМЫМ МАЛЕНЬКИМ. СКАЗКИ ДЛЯ МАЛЫШЕЙ</t>
  </si>
  <si>
    <t>978-5-378-32428-6</t>
  </si>
  <si>
    <t>В книгу вошли любимые зарубежные сказки: «Гадкий утёнок», «Три поросёнка», «Бременские музыканты». Удобный формат книг, качественная бумага и яркие иллюстрации сделают чтение ещё более приятным и подарят массу положительных эмоций!</t>
  </si>
  <si>
    <t>9785378324286</t>
  </si>
  <si>
    <t>под ред. В. Костиной</t>
  </si>
  <si>
    <t>40a6fd61a60d7a92536214a7d72b01e5</t>
  </si>
  <si>
    <t>200х200х7</t>
  </si>
  <si>
    <t>СЕРИЯ: СКАЗКИ ДЕТЯМ глянц.ламин, офсет 100гр, 145х203</t>
  </si>
  <si>
    <t>260216</t>
  </si>
  <si>
    <t>СКАЗКИ ДЕТЯМ. Красивые сказки Ганса Христиана Андерсена</t>
  </si>
  <si>
    <t>978-5-378-35739-0</t>
  </si>
  <si>
    <t>Сказки – это не просто лёгкие истории, призванные развлечь или рассмешить. В каждой из них – бесценные уроки добра и любви, взаимовыручки и прощения. Усвоив их, маленький читатель непременно выберет правильный путь в жизни и честно будет ему следовать. В серии представлены русские народные сказки, а также лучшие произведения мировых классиков жанра.</t>
  </si>
  <si>
    <t>9785378357390</t>
  </si>
  <si>
    <t>2df3adcd7359700b070ac559c0299c7b</t>
  </si>
  <si>
    <t>260218</t>
  </si>
  <si>
    <t>СКАЗКИ ДЕТЯМ. Лучшие сказки Шарля Перро</t>
  </si>
  <si>
    <t>978-5-378-35741-3</t>
  </si>
  <si>
    <t>9785378357413</t>
  </si>
  <si>
    <t>03ce1ed32957ce1915862b27a2168e65</t>
  </si>
  <si>
    <t>260217</t>
  </si>
  <si>
    <t>СКАЗКИ ДЕТЯМ. Любимые сказки братьев Гримм</t>
  </si>
  <si>
    <t>978-5-378-35740-6</t>
  </si>
  <si>
    <t>9785378357406</t>
  </si>
  <si>
    <t>1f14de8a97ca411b977f2d09333c598b</t>
  </si>
  <si>
    <t>260212</t>
  </si>
  <si>
    <t>СКАЗКИ ДЕТЯМ. Первые сказки</t>
  </si>
  <si>
    <t>978-5-378-35737-6</t>
  </si>
  <si>
    <t>9785378357376</t>
  </si>
  <si>
    <t>3dbe21216858bd4930a9b296d6db9ec3</t>
  </si>
  <si>
    <t>260214</t>
  </si>
  <si>
    <t>СКАЗКИ ДЕТЯМ. Русские народные сказки</t>
  </si>
  <si>
    <t>978-5-378-35738-3</t>
  </si>
  <si>
    <t>9785378357383</t>
  </si>
  <si>
    <t>fb52d96fd8b5f6393e64080121d87557</t>
  </si>
  <si>
    <t>260210</t>
  </si>
  <si>
    <t>СКАЗКИ ДЕТЯМ. Сказки Пушкина</t>
  </si>
  <si>
    <t>978-5-378-35736-9</t>
  </si>
  <si>
    <t>9785378357369</t>
  </si>
  <si>
    <t>026c64007c66bd21789a47890af12bd2</t>
  </si>
  <si>
    <t>СЕРИЯ: СКАЗКОТЕРАПИЯ глянц.ламин, офсет 145х203</t>
  </si>
  <si>
    <t>260220</t>
  </si>
  <si>
    <t>СКАЗКОТЕРАПИЯ. ЗЛОСТЬ, УХОДИ!</t>
  </si>
  <si>
    <t>978-5-378-35708-6</t>
  </si>
  <si>
    <t>Тигрёнок Ярик не умеет управлять своим рёвом – из-за этого с ним постоянно случаются неприятности. Младшая дочка енотов Ната сердится, когда ей что-то запрещают, и попадает в нелепые ситуации. Ёжик Веня ссорится с друзьями, потому что не может укротить свои иголки. Что же делать зверятам? Сказки, написанные психологами, помогут детям узнать о том, как можно справиться со злостью. К каждой сказке подобраны специальные упражнения для закрепления навыков эмоциональной саморегуляции.</t>
  </si>
  <si>
    <t>9785378357086</t>
  </si>
  <si>
    <t>Дмитриева Светлана Викторовна,Харитонова Мария Станиславовна</t>
  </si>
  <si>
    <t>faad663470dc5542964c739de35fe969</t>
  </si>
  <si>
    <t>260219</t>
  </si>
  <si>
    <t>СКАЗКОТЕРАПИЯ. НЕ БУДУ ОБИЖАТЬСЯ</t>
  </si>
  <si>
    <t>978-5-378-35709-3</t>
  </si>
  <si>
    <t>Бельчонок Яша обижается на маму и попадает в заколдованный лес. Волчонок Кир РАССТРАИВАЕТСЯ из-за проигрыша и встречает странное существо. Бобрёнок Бася дуется на дедушку Лося, потому что думает, что тот его бросил. Что же делать зверятам? Сказки, написанные психологами, помогут детям узнать о том, как можно справиться с обидой. К каждой сказке подобраны специальные упражнения для закрепления навыков эмоциональной саморегуляции.</t>
  </si>
  <si>
    <t>9785378357093</t>
  </si>
  <si>
    <t>63c1c578a2cab5e59b377f494d09b999</t>
  </si>
  <si>
    <t>258325</t>
  </si>
  <si>
    <t>СКАЗКОТЕРАПИЯ. УЧИМСЯ ПОБЕЖДАТЬ СТРАХ</t>
  </si>
  <si>
    <t>978-5-378-35653-9</t>
  </si>
  <si>
    <t>Смелый днём, зайчонок Сеня ночью превращается в трусишку. Оленёнок Май не может собраться с духом и перескочить глубокий овраг. Мышонок Фима так боится грозы, что пропускает соревнования и подводит свою команду. Как быть зверятам? Сказки, написанные психологами, помогут детям узнать о том, как можно справиться со страхом. К каждой истории подобраны специальные упражнения для закрепления навыков эмоциональной саморегуляции.</t>
  </si>
  <si>
    <t>9785378356539</t>
  </si>
  <si>
    <t>8bfd74ac2b746ce3ba5d4f1a6d11786e</t>
  </si>
  <si>
    <t>261436</t>
  </si>
  <si>
    <t>СКАЗКОТЕРАПИЯ. Я НЕ РЕВНУЮ</t>
  </si>
  <si>
    <t>978-5-378-35749-9</t>
  </si>
  <si>
    <t>Медвежонок Тиша недоволен тем, что его другу интересно играть с новым соседом. Лисичка Мила хочет, чтобы воспитательница любила только её. Барсучонок Рони не рад появлению сестрёнки: ему кажется, что мама и папа больше не обращают на него внимания. Что же делать зверятам? Сказки, написанные психологами, помогут детям узнать о том, как можно справиться с ревностью. К каждой сказке подобраны специальные упражнения для закрепления навыков эмоциональной саморегуляции.</t>
  </si>
  <si>
    <t>9785378357499</t>
  </si>
  <si>
    <t>ea19e92e8a3bdfccac0db2702d6c4e71</t>
  </si>
  <si>
    <t>144х204х7</t>
  </si>
  <si>
    <t>УЧИМСЯ ЧИТАТЬ</t>
  </si>
  <si>
    <t>СЕРИЯ: ХОЧУ ЧИТАТЬ САМ офсет 100 гр, глянц.ламин. 200х240</t>
  </si>
  <si>
    <t>173219</t>
  </si>
  <si>
    <t>ХОЧУ ЧИТАТЬ САМ. КРУПНЫЕ БУКВЫ. В.Драгунский. Денискины рассказы</t>
  </si>
  <si>
    <t>978-5-378-32430-9</t>
  </si>
  <si>
    <t xml:space="preserve">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Виктора Драгунского — детская классика,  с которой ребёнку понравится знакомиться самостоятельно, а крупные буквы сделают чтение нескучным и плодотворным занятием. </t>
  </si>
  <si>
    <t>9785378324309</t>
  </si>
  <si>
    <t>aac81c031997de951e37b1778aa80f1a</t>
  </si>
  <si>
    <t>200x240x6</t>
  </si>
  <si>
    <t>176538</t>
  </si>
  <si>
    <t>ХОЧУ ЧИТАТЬ САМ. КРУПНЫЕ БУКВЫ. Про садик, каникулы и удивительные открытия</t>
  </si>
  <si>
    <t>978-5-378-32734-8</t>
  </si>
  <si>
    <t>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современного детского автора Елены Добош — это добрые сюжеты про дружбу, совместные занятия и отношения в любящей семье. А крупные буквы сделают чтение нескучным и плодотворным занятием.</t>
  </si>
  <si>
    <t>9785378327348</t>
  </si>
  <si>
    <t>Добош Елена Сергеевна</t>
  </si>
  <si>
    <t>fe8730552a5dac6699aa30a8af2da30b</t>
  </si>
  <si>
    <t>СЕРИЯ: ЧИТАЕМ ПО СЛОГАМ глянц.ламин, 145х203</t>
  </si>
  <si>
    <t>264423</t>
  </si>
  <si>
    <t>ЧИТАЕМ ПО СЛОГАМ. УРОВЕНЬ 1. Тексты до 30 слов</t>
  </si>
  <si>
    <t>978-5-378-35834-2</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</si>
  <si>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1 «Тексты до 30 слов» — книга для ребят, которые знают принципы слогосложения, но пока могут применять его только в простых словах. Короткие простые рассказы не будут утомлять ребёнка. Серия подходит для подготовки к школе дошкольников и ученикам начальных классов для закрепления навыка чтения.</t>
  </si>
  <si>
    <t>9785378358342</t>
  </si>
  <si>
    <t>Костина Мария</t>
  </si>
  <si>
    <t>de1b6a07a2715f3d2aaf150085359289</t>
  </si>
  <si>
    <t>264425</t>
  </si>
  <si>
    <t>ЧИТАЕМ ПО СЛОГАМ. УРОВЕНЬ 2. Тексты от 30 до 40</t>
  </si>
  <si>
    <t>978-5-378-35835-9</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</si>
  <si>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2 «Тексты от 30 до 40 слов» — рассказы в этой книге немного сложнее и длиннее, чем на первом уровне. Это подготовительная стадия для осмысленного чтения: после прочтения можно обращать внимание ребёнка на картинки. Таким образом, прочитанное будет запоминаться, что важно для дальнешей работы с текстом в рамках школьной программы.
Серия подходит для подготовки к школе дошкольников и ученикам начальных классов для закрепления навыка чтения.</t>
  </si>
  <si>
    <t>9785378358359</t>
  </si>
  <si>
    <t>1650fbdd256438e4984044c5740cf9b4</t>
  </si>
  <si>
    <t>264426</t>
  </si>
  <si>
    <t>ЧИТАЕМ ПО СЛОГАМ. УРОВЕНЬ 3. Тексты от 40 слов</t>
  </si>
  <si>
    <t>978-5-378-35836-6</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</si>
  <si>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3 «Тексты от 40 слов» — для ребят, которые хорошо справляются с простыми текстами и готовы к осмысленному чтению. Для этого под каждым рассказом написаны вопросы закрытого типа. Они легкие для восприятия, но в то же время готовят детей к дальнейшей работе с текстом. Серия подходит для подготовки к школе дошкольников и ученикам начальных классов для закрепления навыка чтения.</t>
  </si>
  <si>
    <t>9785378358366</t>
  </si>
  <si>
    <t>9e8708d2adf2dd10bd586b92d67cf280</t>
  </si>
  <si>
    <t>264427</t>
  </si>
  <si>
    <t>ЧИТАЕМ ПО СЛОГАМ. УРОВЕНЬ 4. Тексты от 50 слов</t>
  </si>
  <si>
    <t>978-5-378-35837-3</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</si>
  <si>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4 «Тексты от 50 слов» — книга с самыми длинными текстами в серии. Здесь есть вопросы двух типов: закрытого и открытого. С помощью них ребёнок, прочитав текст, сможет попробовать его пересказать или рассказать историю о похожих героях и событиях. Такие задания направлены на формирование связной речи ребёнка. Серия подходит для подготовки к школе дошкольников и ученикам начальных классов для закрепления навыка чтения.</t>
  </si>
  <si>
    <t>9785378358373</t>
  </si>
  <si>
    <t>315093f189d0ceb04e3d660d0fca19ac</t>
  </si>
  <si>
    <t>СЕРИЯ: ЧИТАЮ САМ офсет. 200х255</t>
  </si>
  <si>
    <t>045814</t>
  </si>
  <si>
    <t>ЧИТАЮ САМ ПО СЛОГАМ. ЛЮБИМЫЕ ЗАРУБЕЖНЫЕ СКАЗКИ</t>
  </si>
  <si>
    <t>978-5-378-26365-3</t>
  </si>
  <si>
    <t>Серия «Читаю сам по слогам» создана специально для детей, которые только учатся читать. Малышу будет очень интересно самостоятельно читать интереснейшие истории о животных. Бременские музыканты: осёл, петух, кот, пёс - послужат для ребёнка примером настоящей дружбы и взаимовыручки. На примере страшного волка, семерых козлят и их мамы, маленький читатель поймёт, что зло всегда будет наказано. Сказки из этой книжки не только интересные, но и поучительные!</t>
  </si>
  <si>
    <t>9785378263653</t>
  </si>
  <si>
    <t>fb573804dfb4fae156386f8bad6ad05c</t>
  </si>
  <si>
    <t>Читаю сам</t>
  </si>
  <si>
    <t>200x255x7</t>
  </si>
  <si>
    <t>045812</t>
  </si>
  <si>
    <t>ЧИТАЮ САМ ПО СЛОГАМ. РУССКИЕ НАРОДНЫЕ СКАЗКИ</t>
  </si>
  <si>
    <t>978-5-378-26360-8</t>
  </si>
  <si>
    <t>Серия «Читаю сам по слогам» создана специально для детей, которые только учатся читать. В этой книге собраны русские народные сказки, которые читаются и рассказываются детям одними из первых. Теперь ребёнок может сам прочитать свои любимые сказки, ведь слова так удобно разбиты на слоги. Добрая курочка, умна Машенька, дружная семья из «Репки», трудолюбивая Крошечка-Хаврошечка покажут ребёнку самые лучшие человеческие качества, необходимые каждому.</t>
  </si>
  <si>
    <t>9785378263608</t>
  </si>
  <si>
    <t>f1bf66da7e60959dd3c24cc352057554</t>
  </si>
  <si>
    <t>039544</t>
  </si>
  <si>
    <t>ЧИТАЮ САМ. З. АЛЕКСАНДРОВА. ЛЮБИМЫЕ СТИХИ</t>
  </si>
  <si>
    <t>978-5-378-25693-8</t>
  </si>
  <si>
    <t>Серия «Читаю сам» создана специально для маленьких читателей, которые только начинают своё путешествие по прекрасному миру литературы. В этой книжке собраны одни из самых лучших стихотворений замечательной русской поэтессы Зинаиды Александровой. Добрые и весёлые стихотворения, которые вы здесь найдёте, - это маленькие истории про детей, зверей и птиц, которые так весело и полезно читать вслух.</t>
  </si>
  <si>
    <t>9785378256938</t>
  </si>
  <si>
    <t>Александрова Зинаида Николаевна</t>
  </si>
  <si>
    <t>f59f673f873230f3e8359426940150cf</t>
  </si>
  <si>
    <t>039549</t>
  </si>
  <si>
    <t>ЧИТАЮ САМ. ЛУЧШИЕ СКАЗКИ ДЛЯ МАЛЫШЕЙ</t>
  </si>
  <si>
    <t>978-5-378-25664-8</t>
  </si>
  <si>
    <t>Серия «Читаю сам» создана специально для маленьких читателей, которые только начинают своё путешествие по прекрасному миру литературы. В этой книге малыш сможет прочитать интереснейшие сказки из России, Дании и Франции. Сообразительный солдат, хитрая лиса, коварный волк и хвастливый заяц заинтересуют любого маленького читателя. Забавные истории этих героев дополнены красочными иллюстрациями, что делает процесс чтения для малыша ещё увлекательнее.</t>
  </si>
  <si>
    <t>9785378256648</t>
  </si>
  <si>
    <t>Андерсен Ганс Христиан,Перро Шарль,народные тексты</t>
  </si>
  <si>
    <t>7ed7c3b059f1c1477cba88ff02a3ae3b</t>
  </si>
  <si>
    <t>039546</t>
  </si>
  <si>
    <t>ЧИТАЮ САМ. ЛЮБИМЫЕ СКАЗКИ</t>
  </si>
  <si>
    <t>978-5-378-25652-5</t>
  </si>
  <si>
    <t>Серия «Читаю сам» создана специально для маленьких читателей, которые только начинают своё путешествие по прекрасному миру литературы. Читая сказки, собранные в этой книге, ребёнок познакомится с замечательными русскими народными сказками. Снегурушка, бычок-смоляной бочок, лисица, коза и другие герои этой книги помогут ребёнку провести время с пользой и удовольствием, а также узнать много нового и интересного. Малыш захочет прочесть эти сказки ещё не раз, ведь они станут его любимыми.</t>
  </si>
  <si>
    <t>9785378256525</t>
  </si>
  <si>
    <t>под ред. Н. Брагинец</t>
  </si>
  <si>
    <t>aae75f8cbb8301b98439aa6e6a846d65</t>
  </si>
  <si>
    <t>039551</t>
  </si>
  <si>
    <t>ЧИТАЮ САМ. СКАЗКИ БРАТЬЕВ ГРИММ</t>
  </si>
  <si>
    <t>978-5-378-25665-5</t>
  </si>
  <si>
    <t>Серия «Читаю сам» создана специально для маленьких читателей, которые только начинают своё путешествие по прекрасному миру литературы. Эта книга собрала в себе одни из самых лучших сказок братьев Гримм. Прекрасная Белоснежка, которую спасает принц; умный кот, который помогает своему хозяину; животные, которые подружились и решили стать бродячими музыкантам; Рапунцель, которая была заточена в башне, и маленькая девочка, которая получила волшебный горшочек, наверняка станут любимыми героями малыша.</t>
  </si>
  <si>
    <t>9785378256655</t>
  </si>
  <si>
    <t>b93a5606dd77fedd8754d4178cd280a2</t>
  </si>
  <si>
    <t>12.10.2016 0:00:00</t>
  </si>
  <si>
    <t>ШКОЛЬНАЯ ПРОГРАММА</t>
  </si>
  <si>
    <t>СБОРНИКИ ДЛЯ ШКОЛЫ офсет, глянц.ламин. 145х203</t>
  </si>
  <si>
    <t>271680</t>
  </si>
  <si>
    <t>ВСЕ РАССКАЗЫ ДЛЯ ЛЕТНЕГО ЧТЕНИЯ</t>
  </si>
  <si>
    <t>978-5-378-36024-6</t>
  </si>
  <si>
    <t>Сборник «Все рассказы для летнего чтения» собрал в себе множество произведений для учеников начальной школы, которые можно прочесть на летних каникулах. В этой книге юный читатель познакомится с рассказами Л. Н. Толстого, М. М. Пришвина, А. С. Пушкина, Ш. Перро, Г. Х. Андерсена и окунётся в мир русских народных сказок. Книгу украшают иллюстрации, которые сделают чтение более интересным и захватывающим. Список произведений соответствует школьной программе.</t>
  </si>
  <si>
    <t>9785378360246</t>
  </si>
  <si>
    <t>Крылов Иван Андреевич, Толстой Лев Николаевич, Пушкин Александр Сергеевич, Толстой Алексей Константинович, Рылеев Кондратий Фёдорович, Лермонтов Михаил Юрьевич, Никитин Иван Саввич, Некрасов Николай Алексеевич, Блок Александр Александрович, Фет Афанасий Афанасьевич, Перро Шарль, Андерсен Ганс Христиан, Братья Гримм и другие</t>
  </si>
  <si>
    <t>cb47fabe82dcc56fd8648667e570957c</t>
  </si>
  <si>
    <t>144х204х29</t>
  </si>
  <si>
    <t>СЕРИЯ: ВНЕКЛАССНОЕ ЧТЕНИЕ офсет, глянц.ламин.</t>
  </si>
  <si>
    <t>098549</t>
  </si>
  <si>
    <t>ВНЕКЛАССНОЕ ЧТЕНИЕ. А. Пушкин. СКАЗКИ</t>
  </si>
  <si>
    <t>978-5-378-28839-7</t>
  </si>
  <si>
    <t>Книги серии "Внеклассное чтение" - незаменимый помощник юного школьника в самостоятельном знакомстве с миром литературы. Сборник сказок А.С. Пушкина включает в себя несколько самых любимых произведений автора: "Сказка о рыбаке и рыбке", "Сказка о золотом петушке", "Сказка о мёртвой царевне и о семи богатырях" и другие. Все произведения печатаются без сокращений.</t>
  </si>
  <si>
    <t>9785378288397</t>
  </si>
  <si>
    <t>Внеклассное чтение</t>
  </si>
  <si>
    <t>144x220x5</t>
  </si>
  <si>
    <t>211194</t>
  </si>
  <si>
    <t>ВНЕКЛАССНОЕ ЧТЕНИЕ. А. Толстой. ЗОЛОТОЙ КЛЮЧИК, ИЛИ ПРИКЛЮЧЕНИЯ БУРАТИНО</t>
  </si>
  <si>
    <t>978-5-378-34363-8</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</si>
  <si>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Сказочную повесть Алексея Толстого "Золотой ключик, или Приключения Буратино" читают и любят миллионы детишек. Писатель подарил ребятам прекрасную добрую книгу о необычайной истории про деревянного мальчика, которого смастерил из полена шарманщик Карло. С самого первого дня жизнь озорного и непослушного Буратино полна невероятных приключений. Деревянный мальчик находит верных друзей, побеждает с ними злого Карабаса Барабаса и с помощью золотого ключика открывает новый кукольный театр. Книга красочно проиллюстрирована художником Ильей Есауловым.</t>
  </si>
  <si>
    <t>9785378343638</t>
  </si>
  <si>
    <t>Толстой Алексей Николаевич</t>
  </si>
  <si>
    <t>fc975a41f2352580fbf1a1fab6135920</t>
  </si>
  <si>
    <t>145x203x10</t>
  </si>
  <si>
    <t>098544</t>
  </si>
  <si>
    <t>ВНЕКЛАССНОЕ ЧТЕНИЕ. БОГИ И ГЕРОИ ДРЕВНЕЙ ГРЕЦИИ</t>
  </si>
  <si>
    <t>978-5-378-28888-5</t>
  </si>
  <si>
    <t>Эта книга познакомит юного школьника с самыми яркими представителями древнегреческой мифологии и расскажет о сфере покровительства каждого из них. Ребёнок узнает, кто такие Зевс, Гера, Афродита, Посейдон, Деметра и многие другие божества. Перед школьником откроется загадочный мир Олимпа, наполненный необыкновенными превращениями и загадочными тайнами.</t>
  </si>
  <si>
    <t>9785378288885</t>
  </si>
  <si>
    <t>Яхнин Леонид Львович</t>
  </si>
  <si>
    <t>098546</t>
  </si>
  <si>
    <t>ВНЕКЛАССНОЕ ЧТЕНИЕ. В. Драгунский. ДЕНИСКИНЫ РАССКАЗЫ</t>
  </si>
  <si>
    <t>978-5-378-28835-9</t>
  </si>
  <si>
    <t>Эта замечательная книга познакомит юного школьника с находчивым мальчиком Дениской Кораблёвым и расскажет множество удивительных случаев из его жизни. На примере главного героя и его окружения ребёнок научится искренней дружбе, бескорыстной доброте и, самое главное, навсегда запомнит, что «всё тайное всегда становится явным».</t>
  </si>
  <si>
    <t>9785378288359</t>
  </si>
  <si>
    <t>211192</t>
  </si>
  <si>
    <t>ВНЕКЛАССНОЕ ЧТЕНИЕ. Г.Х. Андерсен. СКАЗКИ</t>
  </si>
  <si>
    <t>978-5-378-34372-0</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</si>
  <si>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сборник "Сказки. Г. Х. Андерсен" вошли самые известные и любимые сказки датского писателя Ганса Христиана Андерсена. Книга представляет собой настоящее сокровище, ведь она содержит такие произведения, как "Принцесса на горошине", "Новое платье короля", "Огниво", "Снежная королева" и "Дикие лебеди". Прекрасно иллюстрирован.</t>
  </si>
  <si>
    <t>9785378343720</t>
  </si>
  <si>
    <t>87617a02363d8b048c2dc2d26a77a1f7</t>
  </si>
  <si>
    <t>145x203x9</t>
  </si>
  <si>
    <t>211195</t>
  </si>
  <si>
    <t>ВНЕКЛАССНОЕ ЧТЕНИЕ. Дж.Чандлер Харрис. СКАЗКИ ДЯДЮШКИ РИМУСА</t>
  </si>
  <si>
    <t>978-5-378-34362-1</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</si>
  <si>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</si>
  <si>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9785378343621</t>
  </si>
  <si>
    <t>206967</t>
  </si>
  <si>
    <t>ВНЕКЛАССНОЕ ЧТЕНИЕ. И. Крылов. БАСНИ</t>
  </si>
  <si>
    <t>978-5-378-34315-7</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</si>
  <si>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</si>
  <si>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9785378343157</t>
  </si>
  <si>
    <t>6444c181d57f32b4d55101f11cca474f</t>
  </si>
  <si>
    <t>215231</t>
  </si>
  <si>
    <t>ВНЕКЛАССНОЕ ЧТЕНИЕ. К.И.Чуковский ДОКТОР АЙБОЛИТ. По Гью Лофтингу</t>
  </si>
  <si>
    <t>978-5-378-34390-4</t>
  </si>
  <si>
    <t>История о самом популярном на протяжении нескольких десятилетий докторе страны  - Айболите - теперь представлена в прозе. "Доктор Айболит" Корнея Чуковского, написанная по мотивам произведения Гью Лофтинга, вошёл в книгу полностью, содержит все четыре части: 1. Путешествие в страну обезьян 2. Пента и морские пираты 3. Огонь и вода 4. Приключения белой мышки</t>
  </si>
  <si>
    <t>9785378343904</t>
  </si>
  <si>
    <t>ec59a172d91b89e6a7a43da2ba3ad685</t>
  </si>
  <si>
    <t>206968</t>
  </si>
  <si>
    <t>ВНЕКЛАССНОЕ ЧТЕНИЕ. Л. Толстой. ФИЛИПОК И ДРУГИЕ РАССКАЗЫ</t>
  </si>
  <si>
    <t>978-5-378-34312-6</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</si>
  <si>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этом красочном сборнике вы найдёте известные произведения легендарного отечественного классика - Льва Николаевича Толстого. В книгу вошли сказки, басни, рассказы и были, которые будут интересны и полезны не только детям, но и их родителям. Атмосферности произведениям придают яркие и добрые иллюстрации Натальи Логвановой.</t>
  </si>
  <si>
    <t>9785378343126</t>
  </si>
  <si>
    <t>Толстой Лев Николаевич</t>
  </si>
  <si>
    <t>7715e001a09babd53c377da4e8b24ce6</t>
  </si>
  <si>
    <t>098548</t>
  </si>
  <si>
    <t>ВНЕКЛАССНОЕ ЧТЕНИЕ. П. Ершов. КОНЁК-ГОРБУНОК</t>
  </si>
  <si>
    <t>978-5-378-28861-8</t>
  </si>
  <si>
    <t>Эта замечательная книга познакомит юного школьника с Иванушкой-дурачком и его верным другом Коньком-горбунком, расскажет об их приключениях и путешествиях. Научит, что нет на свете ничего ценнее настоящей и преданной дружбы. Ребёнок навсегда усвоит, что друзьям «по плечу» любые трудности и вместе можно справиться даже с самым сложным заданием.</t>
  </si>
  <si>
    <t>9785378288618</t>
  </si>
  <si>
    <t>Ершов Пётр Павлович</t>
  </si>
  <si>
    <t>258277</t>
  </si>
  <si>
    <t>ВНЕКЛАССНОЕ ЧТЕНИЕ. П.П. Бажов СЕРЕБРЯНОЕ КОПЫТЦЕ</t>
  </si>
  <si>
    <t>978-5-378-35640-9</t>
  </si>
  <si>
    <t>«Серебряное копытце» серии "Внеклассное чтение" — книга со знаменитыми сказками Павла Бажова, вошедших в золотой фонд русской детской литературы. На основе уральских легенд и преданий автор создал волшебные рассказы: "Малахитовая шкатулка", "Хозяйка мекдной горы", "Голубая змейка" и многие другие.
Эти сказки сочетают реальность и фантастику, передают глубокое уважение к природе, народной мудрости и труду. Яркие образы, простой, но выразительный язык делают рассказы понятными и интересными для детей и взрослых.</t>
  </si>
  <si>
    <t>9785378356409</t>
  </si>
  <si>
    <t>Бажов Павел Петрович</t>
  </si>
  <si>
    <t>5e9e67e4f035769a423c31268d563eee</t>
  </si>
  <si>
    <t>118774</t>
  </si>
  <si>
    <t>ВНЕКЛАССНОЕ ЧТЕНИЕ. РУССКИЕ НАРОДНЫЕ СКАЗКИ</t>
  </si>
  <si>
    <t>978-5-378-29591-3</t>
  </si>
  <si>
    <t>В сборнике «Русские народные сказки» представлены знакомые с детства истории о Василисе Прекрасной, Никите Кожемяке, бабе Яге, Кощее Бессмертном. Богато иллюстрированные поучительные истории о мудрости, доброте, храбрости и трудолюбии будут интересны не только детям, но и взрослым.</t>
  </si>
  <si>
    <t>9785378295913</t>
  </si>
  <si>
    <t>ред. Ольга Зозуля</t>
  </si>
  <si>
    <t>198c8fdd9da51017da45d1259bbf6fa7</t>
  </si>
  <si>
    <t>145x203x8</t>
  </si>
  <si>
    <t>СЕРИЯ: МИРОВАЯ КЛАССИКА мат.ламин, тиснение 145х203</t>
  </si>
  <si>
    <t>246451</t>
  </si>
  <si>
    <t>МИРОВАЯ КЛАССИКА. Александр Грибоедов. Горе от ума  176 стр</t>
  </si>
  <si>
    <t>978-5-378-35417-7</t>
  </si>
  <si>
    <t>Комедия в стихах Александра Грибоедова «Горе от ума» — это блестящее сатирическое произведение, которое высмеивает пороки и недостатки высшего общества России начала XIX века. Главный герой, молодой и прогрессивный дворянин Александр Андреевич Чацкий, проведя несколько лет в странствиях, возвращается в Москву полным идей и стремления к переменам. Однако в обществе он сталкивается с непониманием, осуждением и ханжеством. Остроумные замечания и философские монологи героя о смысле жизни и роли разума вызывают лишь насмешки у окружающих. Через комические и трагические моменты автор раскрывает глубокие социальные и культурные конфликты, оставляя читателю много пищи для размышлений о вечных истинах.</t>
  </si>
  <si>
    <t>9785378354177</t>
  </si>
  <si>
    <t>Грибоедов Александр Сергеевич</t>
  </si>
  <si>
    <t>11ed9d8fde4ee2da33a7ce8edd264d47</t>
  </si>
  <si>
    <t>145х203х17</t>
  </si>
  <si>
    <t>179113</t>
  </si>
  <si>
    <t>МИРОВАЯ КЛАССИКА. Александр Грин. Алые паруса. Бегущая по волнам 384 стр</t>
  </si>
  <si>
    <t>978-5-378-35464-1</t>
  </si>
  <si>
    <t>«Алые паруса» — повесть-феерия, которую писатель посвятил своей второй жене. Эта история о мечте и вере в настоящее чудо. Главная героиня, Ассоль, живет в маленьком приморском городке. В младенчестве она потеряла мать, из близких у нее остался только отец. В родном городе нет человека, который бы согрел ее сердце. Ассоль уверена, что когда-нибудь в гавани увидит корабль с большими алыми парусами, а на нем — своего принца, который увезет ее в счастливую жизнь. «Бегущая по волнам» — одно из культовых произведений Александра Грина. Автору удалось создать невероятные женские образы: Фрези Грант, Дэзи Бенсон, Биче Сениэль. Их на своем нелегком пути встречает молодой Томас Гарвей. Вместе и порознь им придется пройти через множество испытаний, чтобы в итоге обрести свое счастье. Любовь, тайны бытия, красота и сила природы — обо всем этом талантливо пишет русский прозаик и поэт.</t>
  </si>
  <si>
    <t>9785378354641</t>
  </si>
  <si>
    <t>Грин Александр Степанович</t>
  </si>
  <si>
    <t>6db095613b01c0976d88991741bf33d9</t>
  </si>
  <si>
    <t>179109</t>
  </si>
  <si>
    <t>МИРОВАЯ КЛАССИКА. Александр Куприн. Гранатовый браслет. Олеся  176 стр</t>
  </si>
  <si>
    <t>978-5-378-33110-9</t>
  </si>
  <si>
    <t>Две прекрасные повести Александра Куприна, в которых русский писатель затрагивает важные темы для каждого человека: любовь, страсть и судьба. «Олеся» В центре сюжета — история любви молодого человека Ивана Тимофеевича и загадочной девушки Олеси, живущей в глухой деревне. Иван, приехавший в деревню по делам, случайно встречает Олесю и её бабушку, которые живут в уединении и считаются местными жителями ведьмами. Но чувству, зародившемуся между ними, не суждено продлиться долго, ведь на их пути встают человеческая злоба и сила предрассудков. 
«Гранатовый браслет» — история о неразделённой любви. Георгий Желтков — мелкий чиновник, без оглядки полюбивший замужнюю женщину. В своём наваждении он всеми силами пытается добиться ответного чувства от княгини Веры Николаевны, которая не воспринимает его всерьёз. Своими действиями он вызывает возмущение Василия Львовича — мужа княгини, который требует оставить её в покое. Георгий не знает, как заставить себя быть вдали от любимой, а потому видит единственный выход...</t>
  </si>
  <si>
    <t>9785378331109</t>
  </si>
  <si>
    <t>Куприн Александр Иванович</t>
  </si>
  <si>
    <t>32a5fa3da6870e36f593b4ca29e09c7f</t>
  </si>
  <si>
    <t>145х205х14</t>
  </si>
  <si>
    <t>246449</t>
  </si>
  <si>
    <t>МИРОВАЯ КЛАССИКА. Александр Островский. Бесприданница. Гроза  208 стр</t>
  </si>
  <si>
    <t>978-5-378-35410-8</t>
  </si>
  <si>
    <t>Александр Николаевич Островский по праву считается основоположником национального театра. В данный сборник включены два самых известных произведения драматурга: «Бесприданница» и «Гроза». В центре сюжета «Бесприданницы» взаимоотношения главной героини с тремя мужчинами: Карандышевым, небогатым женихом героини; Паратовым, человеком богатым и обаятельным, но легкомысленным; и Вожеватовым, представителем крупного купечества, равнодушным к чувствам других людей. Лариса, будучи бесприданницей, вынуждена подчиниться матери и выйти замуж по расчёту. Однако девушка мечтает о настоящей любви и свободе выбора. В «Грозе» автор исследует конфликт между традиционными устоями общества и свободой отдельной личности. Главная героиня, Катерина, страдает от давления со стороны свекрови, Кабанихи, яркой представительницы патриархального общества. Внутренний конфликт девушки обостряется после встречи с Борисом, человеком, который, кажется, может предложить ей свободу и любовь.</t>
  </si>
  <si>
    <t>9785378354108</t>
  </si>
  <si>
    <t>Островский Александр Николаевич</t>
  </si>
  <si>
    <t>d185ded083e1cad5d38064c06fb0b880</t>
  </si>
  <si>
    <t>145х203х19</t>
  </si>
  <si>
    <t>179102</t>
  </si>
  <si>
    <t>МИРОВАЯ КЛАССИКА. Александр Пушкин. Дубровский. Повести Белкина  192 стр</t>
  </si>
  <si>
    <t>978-5-378-33106-2</t>
  </si>
  <si>
    <t xml:space="preserve">Разбойничий роман Александра Сергеевича Пушкина «Дубровский» волнует сердца людей и спустя почти 200 лет. История о предательстве и благородстве, о лжи и честности, о любви и мести... и о том, сколько судеб способны погубить люди, поддавшись последней… Герой романа Владимир Дубровский, юный дворянин, обманутый и оскорблённый действиями друга своего отца, богатого помещика Кирилы Петровича Троекурова. Под влиянием обостряющихся обстоятельств и внутренних побуждений Владимир решает взять на себя роль защитника и найти способ разобраться со своими врагами. Но всё становится гораздо сложнее, когда он знакомится с дочерью своего врага… Драматические повороты сюжета, эмоциональные переживания героев и неизбежное столкновение добра со злом. Роман «Дубровский» является уникальным произведением, представляющим интерес для любителей классической русской литературы. </t>
  </si>
  <si>
    <t>9785378331062</t>
  </si>
  <si>
    <t>0648ff6167ebee086ddc817851fad156</t>
  </si>
  <si>
    <t>179100</t>
  </si>
  <si>
    <t>МИРОВАЯ КЛАССИКА. Александр Пушкин. Капитанская дочка  176 стр</t>
  </si>
  <si>
    <t>978-5-378-35409-2</t>
  </si>
  <si>
    <t>«Капитанская дочка» — исторический роман Александра Сергеевича Пушкина, впервые опубликованный в 1836 году. Произведение повествует о событиях крестьянского восстания под предводительством Емельяна Пугачёва в XVIII веке. «Береги честь смолоду» — это не просто эпиграф романа. Это жизненный ориентир, которому следует главный герой. Молодой дворянин Пётр Гринёв по настоянию отца отправляется служить в Белогорскую крепость, где встречает прекрасную девушку Марию Миронову. Но их любви предстоит преодолеть множество препятствий на своём пути. Не по своей воле влюблённые оказываются втянуты в события крестьянского восстания, которые перевернут их судьбы. Петру придётся решить, что для него важнее: собственная жизнь или честь той, которую он любит. История о смелости, чести и истинной любви никого не оставит равнодушным.</t>
  </si>
  <si>
    <t>9785378354092</t>
  </si>
  <si>
    <t>ec1dfa35720add3cb3b665dd3116ecd8</t>
  </si>
  <si>
    <t>179098</t>
  </si>
  <si>
    <t>МИРОВАЯ КЛАССИКА. Иван Гончаров. Обломов  672 стр</t>
  </si>
  <si>
    <t>978-5-378-33104-8</t>
  </si>
  <si>
    <t>«Обломов» — знаменитый роман Ивана Александровича Гончарова, опубликованный в 1859 году. Произведение стало знаковым для русской литературы, отражая реалии жизни российского общества XIX века, а также внутреннюю борьбу человека с собой и окружающим миром. Главный герой, Илья Ильич Обломов, воплощает явление, названное по его имени «обломовщиной», характеризующееся апатией, нежеланием действовать и затруднениями в принятии решений. Обломов живет в своем уютном петербургском доме, ведя размеренный образ жизни, который включает в себя ежедневную рутину и бесконечные размышления о смысле жизни. Его характер резко контрастирует с динамичным и амбициозным характером его друга Штольца, который демонстрирует активный подход к жизни и стремление к успеху. Роман исследует темы лени, бездействия и утраты жизненной энергии, а также показывает, насколько сложно изменить свои привычки и взгляды.</t>
  </si>
  <si>
    <t>9785378331048</t>
  </si>
  <si>
    <t>Гончаров Иван Александрович</t>
  </si>
  <si>
    <t>f5b41ee6fa2a53cea2310677d7f1bb8a</t>
  </si>
  <si>
    <t>145х203х50</t>
  </si>
  <si>
    <t>179111</t>
  </si>
  <si>
    <t>МИРОВАЯ КЛАССИКА. Иван Тургенев. Отцы и дети  256 стр</t>
  </si>
  <si>
    <t>978-5-378-33112-3</t>
  </si>
  <si>
    <t xml:space="preserve">«Отцы и дети» — знаменитый роман Ивана Тургенева, опубликованный в 1862 году. Это произведение стало одним из наиболее значимых в русской литературе XIX века. Главная тема романа — противопоставление старого и нового поколений, конфликт между отцами и их детьми. Основное противостояние сосредоточено вокруг двух персонажей — Евгения Базарова и Николая Петровича Кирсанова. Евгений Базаров — представитель нового поколения, молодой, рациональный и скептически настроенный к традициям и идеям своего времени. Он проповедует научный подход к жизни и отвергает старые идеалы и ценности. Напротив, Николай Петрович Кирсанов — взрослый мужчина, приверженец традиций и землевладелец. Он представляет старое поколение, которое не готово принять новые идеи и вызовы. Конфликт между представителями «отцов» и «детей» становится эмоциональным, интеллектуальным и идеологическим сюжетом романа. Роман оказал глубокое влияние на развитие общественного мышления и культуры своего времени. </t>
  </si>
  <si>
    <t>9785378331123</t>
  </si>
  <si>
    <t>Тургенев Иван Сергеевич</t>
  </si>
  <si>
    <t>3163dd61ce52558308559ab711e45b7b</t>
  </si>
  <si>
    <t>145х205х17</t>
  </si>
  <si>
    <t>179104</t>
  </si>
  <si>
    <t>МИРОВАЯ КЛАССИКА. Марк Твен. Приключения Тома Сойера  256 стр</t>
  </si>
  <si>
    <t>978-5-378-33107-9</t>
  </si>
  <si>
    <t xml:space="preserve">«Приключения Тома Сойера» — это знаменитая повесть Марка Твена, опубликованная в 1876 году. Книга рассказывает историю мальчика по имени Том Сойер, живущего в американском городке Сент- Питерсберг в середине XIX века. Том Сойер — обычный мальчишка с живым воображением и склонностью к шалостям. Он обожает играть со своими с друзьями и мечтает об увлекательных приключениях. Но когда его жизнь сталкивается с реальными опасностями, Тому предстоит разобраться со своими страхами и доказать себе и окружающим, что он настоящий герой. Автор ставит перед читателями вечные вопросы о взрослении, природе авантюризма и роли фантазии в жизни ребёнка. </t>
  </si>
  <si>
    <t>9785378331079</t>
  </si>
  <si>
    <t>Марк Твен</t>
  </si>
  <si>
    <t>8d85198d060dd3906d528b31261b0a43</t>
  </si>
  <si>
    <t>246450</t>
  </si>
  <si>
    <t>МИРОВАЯ КЛАССИКА. Михаил Лермонтов. Герой нашего времени 192 стр</t>
  </si>
  <si>
    <t>978-5-378-35408-5</t>
  </si>
  <si>
    <t>«Герой нашего времени», несмотря на то, что при первой публикации в 1840 году он не был тепло встречен публикой, занимает одно из ведущих мест среди произведений русской литературы первой половины XIX века. Центральным персонажем первого в русской литературе психологического романа является Григорий Александрович Печорин, молодой офицер, чьё сложное внутреннее состояние и противоречивый характер сделали его одной из наиболее ярких фигур в истории отечественной прозы. Произведение представляет собой сборник повестей, каждая из которых освещает разные стороны личности главного героя. В образе Печорина М. Ю. Лермонтов выражает свои размышления о судьбе, свободе выбора и внутреннем конфликте человека. В настоящее время «Герой нашего времени» продолжает оставаться актуальным произведением, привлекающим внимание читателей своим глубоким анализом человеческой природы и философскими размышлениями о смысле жизни и предназначении человека.</t>
  </si>
  <si>
    <t>9785378354085</t>
  </si>
  <si>
    <t>Лермонтов Михаил Юрьевич</t>
  </si>
  <si>
    <t>2b87c6378ef60f3c1bb6bbce417ee7e8</t>
  </si>
  <si>
    <t>256178</t>
  </si>
  <si>
    <t>МИРОВАЯ КЛАССИКА. Николай Гоголь. Вечера на хуторе близ Диканьки 192 стр</t>
  </si>
  <si>
    <t>978-5-378-35641-6</t>
  </si>
  <si>
    <t>«Вечера на хуторе близ Диканьки» — сборник рассказов Николая Гоголя, впервые опубликованный в 1831 году. В этом произведении автор создает яркую картину жизни украинского села, наполненную фольклорными элементами, мифами и легендами. Каждая история в сборнике пронизана духом народной культуры, отражает быт и традиции крестьян, а также исследует темы любви, судьбы и человеческих страстей. Сборник включает в себя рассказы: «Ночь перед Рождеством», «Сорочинская ярмарка», «Пропавшая грамота» и другие произведения.</t>
  </si>
  <si>
    <t>9785378356416</t>
  </si>
  <si>
    <t>5c8744c737f54ad15c94792011939528</t>
  </si>
  <si>
    <t>145х203х40</t>
  </si>
  <si>
    <t>179096</t>
  </si>
  <si>
    <t>МИРОВАЯ КЛАССИКА. Николай Гоголь. Мертвые души  512 стр</t>
  </si>
  <si>
    <t>978-5-378-33103-1</t>
  </si>
  <si>
    <t>«Мертвые души» — это одно из наиболее известных произведений Николая Васильевича Гоголя, опубликованное в 1842 году. Сатирическая поэма погружает читателя в мир России XIX века, который полон социальных пороков, бюрократии и человеческой алчности. Главный герой, Павел Иванович Чичиков, — мошенник, который придумал хитроумный план, чтобы разбогатеть. В ходе своих приключений Чичиков встречает помещиков, каждого из которых Гоголь описывает яркими красками. Эти персонажи олицетворяют различные недостатки общества и человеческие пороки: корысть, лицемерие, обман и безнравственность. Каждая встреча открывает перед читателем новые грани человеческой
натуры и суровые реалии жизни того времени.</t>
  </si>
  <si>
    <t>9785378331031</t>
  </si>
  <si>
    <t>43d7122f1559974187ae843f9d04e2b3</t>
  </si>
  <si>
    <t>179110</t>
  </si>
  <si>
    <t>МИРОВАЯ КЛАССИКА. Уильям Шекспир. Ромео и Джульетта 176 стр</t>
  </si>
  <si>
    <t>978-5-378-34716-2</t>
  </si>
  <si>
    <t>Трагедия, написанная Уильямом Шекспиром в XVI веке, остаётся одной из самых печально известных историй в мировой литературе. Главные герои — Ромео Монтекки и Джульетта Капулетти — влюбляются друг в друга, несмотря на вражду между своими семействами. И решают бороться за свою любовь. Однако обстоятельства неожиданно становятся роковыми для юных влюблённых. В этой трагедии Шекспир исследует темы силы любви, семейной вражды и природы судьбы, подчёркивая трагические последствия ненависти и неразумных решений.</t>
  </si>
  <si>
    <t>9785378347162</t>
  </si>
  <si>
    <t>Шекспир Уильям</t>
  </si>
  <si>
    <t>012e25f24da7110973b452b6c9ee26ed</t>
  </si>
  <si>
    <t>246455</t>
  </si>
  <si>
    <t>МИРОВАЯ КЛАССИКА. Фёдор Достоевский. Преступление и наказание 736 стр</t>
  </si>
  <si>
    <t>978-5-378-33105-5</t>
  </si>
  <si>
    <t>Роман Федора Достоевского «Преступление и наказание» — это глубокое исследование человеческой природы, морали и искупления. Главный герой, Родион Раскольников, — бедный студент, который впадает в отчаяние из-за нищеты и социальной несправедливости. Пытаясь оправдать свое решение избавиться от злой старухи-процентщицы, он разрабатывает теорию о людях, которые имеют право на преступление ради высшей цели. На фоне конфликта между моралью и аморальностью Достоевский поднимает важнейшие
вопросы о свободе выбора, ответственности и возможности искупления. Личные трагедии героев, неожиданные повороты сюжета и философские размышления создают мощную атмосферу, заставляющую переосмыслить привычные представления о добре и зле.</t>
  </si>
  <si>
    <t>9785378331055</t>
  </si>
  <si>
    <t>Достоевский Фёдор Михайлович</t>
  </si>
  <si>
    <t>456d8f4a30d1220814b52e93bedc8287</t>
  </si>
  <si>
    <t>145х203х55</t>
  </si>
  <si>
    <t>СЕРИЯ: ХРЕСТОМАТИЯ офсет 80 гр, мат.ламин. выб.лак 140х205</t>
  </si>
  <si>
    <t>212029</t>
  </si>
  <si>
    <t>ХРЕСТОМАТИЯ С КРУПНЫМИ БУКВАМИ</t>
  </si>
  <si>
    <t>978-5-378-34393-5</t>
  </si>
  <si>
    <t>Крупный шрифт текстов хрестоматии будет удобен как для начинающих читателей-дошкольников, так и для учеников младших классов. Все произведения сборника входят в программы по школьному и внеклассному чтению. Обязательно дополните домашнюю детскую библиотеку этой полезной и красивой книгой!</t>
  </si>
  <si>
    <t>9785378343935</t>
  </si>
  <si>
    <t>3357d79d5a13fb7e70775f922d9c6622</t>
  </si>
  <si>
    <t>СЕРИЯ: ХРЕСТОМАТИЯ. ШКОЛЬНАЯ БИБЛИОТЕКА. офсет 60 гр, глянц.ламин. 165х215</t>
  </si>
  <si>
    <t>190550</t>
  </si>
  <si>
    <t>ХРЕСТОМАТИЯ ДЛЯ 1 КЛАССА</t>
  </si>
  <si>
    <t>978-5-378-33854-2</t>
  </si>
  <si>
    <t>Хрестоматия состоит из четырёх разделов и включает в себя произведения русской народной литературы, прозу и поэзию русских классиков, а также сказки зарубежных авторов. Все произведения, составившие хрестоматию, входят в программы по школьному и внеклассному чтению.</t>
  </si>
  <si>
    <t>9785378338542</t>
  </si>
  <si>
    <t>Пришвин Михаил Михайлович,Мамин-Сибиряк Дмитрий Наркисович,Гайдар Аркадий Петрович,Одоевский Владимир Фёдорович,Драгунский Виктор Юзефович,Пантелеев Леонид,Андерсен Ганс Христиан,Перро Шарль</t>
  </si>
  <si>
    <t>8402d100367ad0fa906297adf8eae244</t>
  </si>
  <si>
    <t>165х215х15</t>
  </si>
  <si>
    <t>190552</t>
  </si>
  <si>
    <t>ХРЕСТОМАТИЯ ДЛЯ 2 КЛАССА</t>
  </si>
  <si>
    <t>978-5-378-33444-5</t>
  </si>
  <si>
    <t>9785378334445</t>
  </si>
  <si>
    <t>Пришвин Михаил Михайлович,Платонов Андрей Платонович,Житков Борис Степанович,Жуковский Василий Андреевич,Куприн Александр Иванович,Гаршин Всеволод Михайлович,Пантелеев Леонид,Драгунский Виктор Юзефович,Шварц Евгений Львович,Андерсен Ганс Христиан,Перро Шарль,Харрис Джоэль Чандлер</t>
  </si>
  <si>
    <t>3b9e3975525c96409a0b983e342d7bed</t>
  </si>
  <si>
    <t>190554</t>
  </si>
  <si>
    <t>ХРЕСТОМАТИЯ ДЛЯ 3 КЛАССА</t>
  </si>
  <si>
    <t>978-5-378-33855-9</t>
  </si>
  <si>
    <t>9785378338559</t>
  </si>
  <si>
    <t>Пантелеев Леонид,Чехов Антон Павлович,Куприн Александр Иванович,Одоевский Владимир Фёдорович,Бажов Павел Петрович,Платонов Андрей Платонович,Драгунский Виктор Юзефович,Перро Шарль,Андерсен Ганс Христиан,Братья Гримм</t>
  </si>
  <si>
    <t>af3ff8b871b99b338fd70ba94451227a</t>
  </si>
  <si>
    <t>190555</t>
  </si>
  <si>
    <t>ХРЕСТОМАТИЯ ДЛЯ 4 КЛАССА</t>
  </si>
  <si>
    <t>978-5-378-33530-5</t>
  </si>
  <si>
    <t>Хрестоматия состоит из пяти разделов и включает в себя произведения русской народной литературы, прозу и поэзию русских классиков, сказки зарубежных авторов, а также знакомит школьников с мифологией Древней Греции. Все произведения, составившие хрестоматию, входят в программы по школьному и внеклассному чтению.</t>
  </si>
  <si>
    <t>9785378335305</t>
  </si>
  <si>
    <t>Блок Александр Александрович,Толстой Алексей Николаевич,Жуковский Василий Андреевич,Даль Владимир Иванович,Гаршин Всеволод Михайлович,Куприн Александр Иванович,Чёрный Саша,Мамин-Сибиряк Дмитрий Наркисович,Толстой Лев Николаевич,Чехов Антон Павлович,Драгунский Виктор Юзефович,Гауф Вильгельм,Андерсен Ганс Христиан,Перро Шарль</t>
  </si>
  <si>
    <t>5fb910e12ff874136540c91a4f0c41c6</t>
  </si>
  <si>
    <t>СЕРИЯ: ЧТЕНИЕ НА ЛЕТО глянц.ламин, 7БЦ 170х220</t>
  </si>
  <si>
    <t>251743</t>
  </si>
  <si>
    <t>ЧТЕНИЕ НА ЛЕТО. Переходим в 3 класс</t>
  </si>
  <si>
    <t>978-5-378-35491-7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</si>
  <si>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Константина Ушинского, Льва Толстого, Редьярда Киплинга и окунётся в мир русских народных сказок. Список произведений соответствует школьной программе.</t>
  </si>
  <si>
    <t>9785378354917</t>
  </si>
  <si>
    <t>Ушинский Константин Дмитриевич, Толстой Лев Николаевич, Гаршин Всеволод Михайлович, Горький Максим, Мамин-Сибиряк Дмитрий Наркисович, Житков Борис Степанович, Драгунский Виктор Юзефович, Гайдар Аркадий Петрович и др.</t>
  </si>
  <si>
    <t>399209811d72617a936823ff8de26c5c</t>
  </si>
  <si>
    <t>170x220x19</t>
  </si>
  <si>
    <t>251744</t>
  </si>
  <si>
    <t>ЧТЕНИЕ НА ЛЕТО. Переходим в 4 класс</t>
  </si>
  <si>
    <t>978-5-378-35529-7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</si>
  <si>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Антона Чехова, Виктора Драгунского, Александра Куприна, а также окунётся в мир сказок Ганса Христиана Андерсена, Александра Пушкина и других известных авторов. Список произведений соответствует школьной программе.</t>
  </si>
  <si>
    <t>9785378355297</t>
  </si>
  <si>
    <t>Пушкин Александр Сергеевич, Аксаков Сергей Тимофеевич, Лермонтов Михаил Юрьевич, Погорельский Антоний, Одоевский Владимир Фёдорович, Крылов Иван Андреевич, Толстой Лев Николаевич и др.</t>
  </si>
  <si>
    <t>219b0c3f6df161c2ea4b6a9fe5ae7e2b</t>
  </si>
  <si>
    <t>251745</t>
  </si>
  <si>
    <t>ЧТЕНИЕ НА ЛЕТО. Переходим в 5 класс</t>
  </si>
  <si>
    <t>978-5-378-35530-3</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</si>
  <si>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мифами древних греков, сказками Павла Бажова, мистическими повестями Николая Гоголя, рассказами Ивана Тургенева, Александра Куприна, Антона Чехова и других известных писателей. Список произведений соответствует школьной программе.</t>
  </si>
  <si>
    <t>9785378355303</t>
  </si>
  <si>
    <t>Кун Николай Альбертович, Жуковский Василий Андреевич, Бажов Павел Петрович, Гоголь Николай Васильевич, Лесков Николай Семёнович, Рылеев Кондратий Фёдорович, Пушкин Александр Сергеевич и др.</t>
  </si>
  <si>
    <t>f78b031359bb1846d925300b1cae3364</t>
  </si>
  <si>
    <t>251742</t>
  </si>
  <si>
    <t>ЧТЕНИЕ НА ЛЕТО. Переходим во 2 класс</t>
  </si>
  <si>
    <t>978-5-378-35490-0</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</si>
  <si>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Льва Толстого, Михаила Пришвина, Виктора Драгунского, Валентины Осеевой и других известных авторов лучших детских произведений. Список произведений соответствует школьной программе.</t>
  </si>
  <si>
    <t>9785378354900</t>
  </si>
  <si>
    <t>Толстой Лев Николаевич, Пришвин Михаил Михайлович, Пушкин Александр Сергеевич, Мамин-Сибиряк Дмитрий Наркисович, Бажов Павел Петрович, Драгунский Виктор Юзефович, Осеева Валентина Александровна, Антонова Ирина Алекссевна, Андерсен Ганс Христиан, Перро Шарль</t>
  </si>
  <si>
    <t>6266e182a476f0d80197dbb629b32fc3</t>
  </si>
  <si>
    <t>СЕРИЯ: ШКОЛЬНАЯ БИБЛИОТЕКА тв.переплет. глянц.ламин. 165х215</t>
  </si>
  <si>
    <t>082339</t>
  </si>
  <si>
    <t>ШКОЛЬНАЯ БИБЛИОТЕКА. АЛЁНУШКИНЫ СКАЗКИ (Д. Мамин-Сибиряк) 96с.</t>
  </si>
  <si>
    <t>978-5-378-28080-3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</si>
  <si>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замечательные произведения Д.Н. Мамина-Сибиряка из цикла «Алёнушкины сказки». Писатель создал их специально для своей маленькой дочки Алёнушки и вложил в них свою любовь и тепло.</t>
  </si>
  <si>
    <t>9785378280803</t>
  </si>
  <si>
    <t>Мамин-Сибиряк Дмитрий Наркисович</t>
  </si>
  <si>
    <t>0507ea62e47752879da765dfda86a96a</t>
  </si>
  <si>
    <t>Школьная библиотека</t>
  </si>
  <si>
    <t>165x215x10</t>
  </si>
  <si>
    <t>072088</t>
  </si>
  <si>
    <t>ШКОЛЬНАЯ БИБЛИОТЕКА. АЛЫЕ ПАРУСА (А. Грин) 112с.</t>
  </si>
  <si>
    <t>978-5-378-27831-2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</si>
  <si>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Замечательная романтическая история Александра Грина о чудесах и надежде любима многими поколениями читателей. Чудесные иллюстрации делают книгу ещё более волшебной и прекрасной.</t>
  </si>
  <si>
    <t>9785378278312</t>
  </si>
  <si>
    <t>c4c5a7aa0085e72cf4a82c73542043dc</t>
  </si>
  <si>
    <t>25.09.2017 0:00:00</t>
  </si>
  <si>
    <t>052397</t>
  </si>
  <si>
    <t>ШКОЛЬНАЯ БИБЛИОТЕКА. БАСНИ (И.А. Крылов) 128с.</t>
  </si>
  <si>
    <t>978-5-378-26777-4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</si>
  <si>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И. А. Крылов — замечательнейший русский поэт и баснописец. Он создал множество поучительных и мудрых произведений, которые будут актуальны всегда.</t>
  </si>
  <si>
    <t>9785378267774</t>
  </si>
  <si>
    <t>765b578ff1d43f6f7c9e9f1677b6a7e3</t>
  </si>
  <si>
    <t>052380</t>
  </si>
  <si>
    <t>ШКОЛЬНАЯ БИБЛИОТЕКА. БЕЖИН ЛУГ. ИЗБРАННЫЕ РАССКАЗЫ (И.С. Тургенев) 128с.</t>
  </si>
  <si>
    <t>978-5-378-26760-6</t>
  </si>
  <si>
    <t>В книгах из серии Школьная библиотека собраны лучшие rлассические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И.С. Тургенев — замечательный русский писатель, который оказал влияние на поэтику не только русского, но и западноевропейского романа. Ему первому удалось показать в своих произведениях всю безмерную силу и духовную красоту простого народа.</t>
  </si>
  <si>
    <t>9785378267606</t>
  </si>
  <si>
    <t>082338</t>
  </si>
  <si>
    <t>ШКОЛЬНАЯ БИБЛИОТЕКА. БЕЛЫЕ НОЧИ (Ф. Достоевский) 96с.</t>
  </si>
  <si>
    <t>978-5-378-28085-8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</si>
  <si>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Повесть «Белые ночи» Фёдора Михайловича Достоевского является одним из самых поэтичных произведений великого романиста, она обязательна к прочтению в старшем школьном возрасте.</t>
  </si>
  <si>
    <t>9785378280858</t>
  </si>
  <si>
    <t>052388</t>
  </si>
  <si>
    <t>ШКОЛЬНАЯ БИБЛИОТЕКА. БЕСПРИДАННИЦА (А. Островский) 112с.</t>
  </si>
  <si>
    <t>978-5-378-26864-1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</si>
  <si>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«Бесприданница» - пьеса А.Н. Островского, которая носила весьма новаторский характер во то время, когда её увидел свет. Именно такая смелая подача и интересный сюжет сделали произведение необычайно особенным.</t>
  </si>
  <si>
    <t>9785378268641</t>
  </si>
  <si>
    <t>08e1cb7ecc7a32de826f178df3aea524</t>
  </si>
  <si>
    <t>229489</t>
  </si>
  <si>
    <t>ШКОЛЬНАЯ БИБЛИОТЕКА. ВОЛШЕБНИК ИЗУМРУДНОГО ГОРОДА (А. Волков) 208с.</t>
  </si>
  <si>
    <t>978-5-378-34734-6</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</si>
  <si>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повести Александра Волкова «Волшебник Изумрудного города» девочка Элли вместе со своим верным пёсиком Тотошкой попадает в чудесную страну, где встречает новых друзей и отправляется в захватывающее путешествие к великому Гудвину. История учит смелости, дружбе и тому, что самые важные качества всегда находятся внутри нас. </t>
  </si>
  <si>
    <t>9785378347346</t>
  </si>
  <si>
    <t>72d06819f642d791abc2ab370337a68e</t>
  </si>
  <si>
    <t>06.11.2024 0:00:00</t>
  </si>
  <si>
    <t>170х220x10</t>
  </si>
  <si>
    <t>052383</t>
  </si>
  <si>
    <t>ШКОЛЬНАЯ БИБЛИОТЕКА. ВОЛШЕБНОЕ СЛОВО (В.А. Осеева) 112с.</t>
  </si>
  <si>
    <t>978-5-378-26802-3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</si>
  <si>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Рассказы советской детской писательницы Валентины Осеевой станут отличным развлечением для ребёнка, расскажут о моральных ценностях, дружбе и многом другом.</t>
  </si>
  <si>
    <t>9785378268023</t>
  </si>
  <si>
    <t>Осеева Валентина Александровна</t>
  </si>
  <si>
    <t>224852a3a8acb88303775f917b17f079</t>
  </si>
  <si>
    <t>125549</t>
  </si>
  <si>
    <t>ШКОЛЬНАЯ БИБЛИОТЕКА. ГЕРОЙ НАШЕГО ВРЕМЕНИ (М.Лермонтов) 192с.</t>
  </si>
  <si>
    <t>978-5-378-29810-5</t>
  </si>
  <si>
    <t>«Герой нашего времени» - одно из самых ярких произведение в творчестве Михаила Юрьевича Лермонтова. Автор в нём многогранно раскрывает человеческую личность со всеми её пороками, переживаниями, мытарствами и стремлениями. Эта книга даёт представление о нравственном состоянии и укладе жизни русского общества XIX века, но остаётся актуальной и в наше время.</t>
  </si>
  <si>
    <t>9785378298105</t>
  </si>
  <si>
    <t>410e806fe2f8d82a9820b3886caf99a4</t>
  </si>
  <si>
    <t>124231</t>
  </si>
  <si>
    <t>ШКОЛЬНАЯ БИБЛИОТЕКА. ГОРЕ ОТ УМА (А. Грибоедов) 176с.</t>
  </si>
  <si>
    <t>978-5-378-29727-6</t>
  </si>
  <si>
    <t>«Горе от ума» - знаменитая комедия в стихах, написанная Александром Сергеевичем Грибоедовым. Комедия обличает русское общество начала 19 века, но остаётся актуальной по сей день. Текст комедии разошёлся на цитаты - выражения «свежо предание, а верится с трудом», «счастливые часов не наблюдают», «знакомые все лица» подарил нам Грибоедов, использовав их впервые в «Горе от ума».</t>
  </si>
  <si>
    <t>9785378297276</t>
  </si>
  <si>
    <t>b22ed9aca66b6006e2de34a019ac0f7e</t>
  </si>
  <si>
    <t>161327</t>
  </si>
  <si>
    <t>ШКОЛЬНАЯ БИБЛИОТЕКА. ГУЛЛИВЕР В СТРАНЕ ЛИЛИПУТОВ (Дж.Свифт) 96с.</t>
  </si>
  <si>
    <t>978-5-378-31665-6</t>
  </si>
  <si>
    <t>Чтение — лучший способ путешествия по неизведанным и удивительным мирам. А с серией «Школьная библиотека» такое путешествие становится ещё проще. Коллекция познакомит ребёнка с интереснейшими произведениями школьной программы и подарит прекрасные эмоции. Произведение Джонатана Свифта «Гулливер в стране лилипутов» каждый знает с самого раннего детства. Это непростая история о взаимоотношениях людей, рассказанная простым и детским языком. Вместе с Гулливером читателю предстоит отправиться в морское путешествие, которое приведёт в страну лилипутов. Каждый день герою по-новому будет открываться Лилипутия и её жители. А прежде, чем вернуться домой, Гулливеру нужно стойко и мудро пройти множество испытаний.</t>
  </si>
  <si>
    <t>9785378316656</t>
  </si>
  <si>
    <t>Свифт Джонатан</t>
  </si>
  <si>
    <t>a056e69fb4ce22c65f0b3eafce5fe1be</t>
  </si>
  <si>
    <t>052385</t>
  </si>
  <si>
    <t>ШКОЛЬНАЯ БИБЛИОТЕКА. ЗА ОТЕЧЕСТВО! РАССКАЗЫ И СТИХИ ПО ИСТОРИИ 112с.</t>
  </si>
  <si>
    <t>978-5-378-26855-9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</si>
  <si>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таких замечательных писателей, как А.С. Пушкина, Л.Н. Толстого, С.П. Алексеева и А.В. Митяева, проникнутые глубоким чувством патриотизма.</t>
  </si>
  <si>
    <t>9785378268559</t>
  </si>
  <si>
    <t>Пушкин Александр Сергеевич,Толстой Лев Николавеич,Алексеев Сергей Петрович,Митяев Анатолий Васильевич</t>
  </si>
  <si>
    <t>9531c98b8297d849bedf0b414c4bc1e7</t>
  </si>
  <si>
    <t>052400</t>
  </si>
  <si>
    <t>ШКОЛЬНАЯ БИБЛИОТЕКА. ЗАКОЛДОВАННАЯ БУКВА. ДЕНИСКИНЫ РАССКАЗЫ (В.Ю. Драгунский) 112с.</t>
  </si>
  <si>
    <t>978-5-378-26809-2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</si>
  <si>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легендарный цикл рассказов советского писателя Виктора Драгунского. Эти истории уже на протяжении многих лет любимы не только детьми, но и взрослыми.</t>
  </si>
  <si>
    <t>9785378268092</t>
  </si>
  <si>
    <t>ae8ecf23e428decc86a3a8ab0113260a</t>
  </si>
  <si>
    <t>216809</t>
  </si>
  <si>
    <t>ШКОЛЬНАЯ БИБЛИОТЕКА. КОНЁК-ГОРБУНОК (П.Ершов) 128с.</t>
  </si>
  <si>
    <t>978-5-378-34515-1</t>
  </si>
  <si>
    <t xml:space="preserve">В серии "Школьная библиотека" представлено классическое детское произведение А. Ершова - Конёк-горбунок. Эта сказка написана в стихотворной форме и наполнена устаревшими выражениями, значения которых читатель найдет в отдельном разделе в конце книги. Книга представлена в твердом переплёте. </t>
  </si>
  <si>
    <t>9785378345151</t>
  </si>
  <si>
    <t>8d1fe23e47cd42c3b2ac8a77fe458631</t>
  </si>
  <si>
    <t>052386</t>
  </si>
  <si>
    <t>ШКОЛЬНАЯ БИБЛИОТЕКА. КОРАБЛЁВ, К ДОСКЕ! ДЕНИСКИНЫ РАССКАЗЫ (В.Ю. Драгунский) 128с.</t>
  </si>
  <si>
    <t>978-5-378-26866-5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</si>
  <si>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замечательные произведения Виктора Драгунского, которые приоткрывают завесу забавной весёлой жизни детей. Писатель отлично передаёт все их радости, переживания, взаимоотношения с родителями и сверстниками.</t>
  </si>
  <si>
    <t>9785378268665</t>
  </si>
  <si>
    <t>cd7bf30f351fa17d4fb55ff878b4d739</t>
  </si>
  <si>
    <t>062278</t>
  </si>
  <si>
    <t>ШКОЛЬНАЯ БИБЛИОТЕКА. ЛЕВША. ТУПЕЙНЫЙ ХУДОЖНИК (Н.С. ЛЕСКОВ) 96с.</t>
  </si>
  <si>
    <t>978-5-378-27263-1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</si>
  <si>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Семёнович Лесков, пожалуй, лучше всех русских писателей знал свой народ таким, каков он есть. Это бесценное знание вылилось в прекрасные литературные произведения, наполненные житейской мудростью, яркими образами и удивительно интересными сюжетами.</t>
  </si>
  <si>
    <t>9785378272631</t>
  </si>
  <si>
    <t>Лесков Николай Семёнович</t>
  </si>
  <si>
    <t>33ec51c0c997c2828f1da9223aff6af8</t>
  </si>
  <si>
    <t>21.07.2017 0:00:00</t>
  </si>
  <si>
    <t>062274</t>
  </si>
  <si>
    <t>ШКОЛЬНАЯ БИБЛИОТЕКА. ЛЕСНЫЕ ДОМИШКИ (В.В. БИАНКИ) 112с.</t>
  </si>
  <si>
    <t>978-5-378-27264-8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</si>
  <si>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Бианки — замечательный советский писатель, на произведениях которого выросло уже не одно поколение детей. В книге собраны самые значимые его произведения: «Теремок», «Как Муравьишка домой спешил», «Чей нос лучше?», «Лесные домишки», «Мурзук. Повесть».</t>
  </si>
  <si>
    <t>9785378272648</t>
  </si>
  <si>
    <t>Бианки Виталий Валентинович</t>
  </si>
  <si>
    <t>801ce4aacc9968bbd815d259fbc4f6b0</t>
  </si>
  <si>
    <t>062275</t>
  </si>
  <si>
    <t>ШКОЛЬНАЯ БИБЛИОТЕКА. МУМУ. АСЯ (И.С. ТУРГЕНЕВ) 128с.</t>
  </si>
  <si>
    <t>978-5-378-27258-7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</si>
  <si>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Творчеству И.С. Тургенева всегда давали высокую оценку, он является признанным русским литературным классиком. Особенно хорошо ему удавалось изображать русскую природу и простых русских людей, их характеры, переживания и чувства.</t>
  </si>
  <si>
    <t>9785378272587</t>
  </si>
  <si>
    <t>a1a248af3b6c580eae71ebe92694a556</t>
  </si>
  <si>
    <t>082344</t>
  </si>
  <si>
    <t>ШКОЛЬНАЯ БИБЛИОТЕКА. НА ДНЕ (М. Горький) 96с.</t>
  </si>
  <si>
    <t>978-5-378-28081-0</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</si>
  <si>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Драма «На дне» является одним из самых известных произведений Максима Горького, в котором поднимается центральная тема в творчестве писателя – проблема опустившихся, надломленных людей. Для детей старшего школьного возраста.</t>
  </si>
  <si>
    <t>9785378280810</t>
  </si>
  <si>
    <t>Горький Максим</t>
  </si>
  <si>
    <t>ab5aec6124a9db1e6ea9ccc2b5380cf4</t>
  </si>
  <si>
    <t>052387</t>
  </si>
  <si>
    <t>ШКОЛЬНАЯ БИБЛИОТЕКА. НАДО ИМЕТЬ ЧУВСТВО ЮМОРА. РАССКАЗЫ О ШКОЛЕ И ШКОЛЬНИКАХ 112с.</t>
  </si>
  <si>
    <t>978-5-378-26867-2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</si>
  <si>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сборник вошли самые весёлые и интересные произведения для ребят. На страницах они увидят в главных героях самих себя. Истории обязательно разбудят абсолютно в каждом интерес и любовь к чтению.</t>
  </si>
  <si>
    <t>9785378268672</t>
  </si>
  <si>
    <t>b0f278898d9c700fcb4f1452416a788a</t>
  </si>
  <si>
    <t>082340</t>
  </si>
  <si>
    <t>ШКОЛЬНАЯ БИБЛИОТЕКА. НОЧЬ ПЕРЕД РОЖДЕСТВОМ (Н. Гоголь) 96с.</t>
  </si>
  <si>
    <t>978-5-378-28082-7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</si>
  <si>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данной книге вас ждут прекрасные повести Николая Васильевича Гоголя, наполненные ярким колоритом Малороссии XVIII века, захватывающими приключениями и волшебством.</t>
  </si>
  <si>
    <t>9785378280827</t>
  </si>
  <si>
    <t>ad875bf85eb2b32f12607b19d05744d1</t>
  </si>
  <si>
    <t>159092</t>
  </si>
  <si>
    <t>ШКОЛЬНАЯ БИБЛИОТЕКА. ОСТРОВ СОКРОВИЩ (Р.Стивенсон) 272с.</t>
  </si>
  <si>
    <t>978-5-378-31512-3</t>
  </si>
  <si>
    <t>С серией книг «Школьная библиотека» каждый ребёнок сможет познакомится с потрясающим миром отечественной и зарубежной литературы. Каждая книга серии — невероятное приключение, которое подарит радость и смех, а также поможет привить школьнику любовь и интерес к чтению. Знаменитое произведение Роберта Льюиса Стивенсона «Остров сокровищ» — это завораживающая история о пиратах, насыщенная тайнами, непредсказуемыми сюжетными поворотами, интригующими рассказами о поиске настоящего сокровища. Любимая всеми книга понравится каждому школьнику и окунёт его в незабываемый мир морских приключений.</t>
  </si>
  <si>
    <t>9785378315123</t>
  </si>
  <si>
    <t>082342</t>
  </si>
  <si>
    <t>ШКОЛЬНАЯ БИБЛИОТЕКА. ПОВЕСТИ (Н. Карамзин) 96с.</t>
  </si>
  <si>
    <t>978-5-378-28083-4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</si>
  <si>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Михайлович Карамзин является выдающимся писателем, историком и реформатором русского языка. В этой книге вы найдёте его знаменитые повести «Бедная Лиза», «Наталья, боярская дочь» и «Юлия».</t>
  </si>
  <si>
    <t>9785378280834</t>
  </si>
  <si>
    <t>Карамзин Николай Михайлович</t>
  </si>
  <si>
    <t>44d694fd9b9c8ed8e6459b7a468f3d90</t>
  </si>
  <si>
    <t>072087</t>
  </si>
  <si>
    <t>ШКОЛЬНАЯ БИБЛИОТЕКА. ПОВЕСТИ (Н.В. Гоголь) 112с.</t>
  </si>
  <si>
    <t>978-5-378-27703-2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</si>
  <si>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данный сборник вошли повести замечательного классика Николая Гоголя из цикла «Петербургские повести». В произведениях описывается многоликий и столь изменчивый Санкт-Петербург и его необыкновенные обитатели.</t>
  </si>
  <si>
    <t>9785378277032</t>
  </si>
  <si>
    <t>63866ac8d2cac16f2e7dde30bf49b69c</t>
  </si>
  <si>
    <t>072082</t>
  </si>
  <si>
    <t>ШКОЛЬНАЯ БИБЛИОТЕКА. ПОЭЗИЯ ЗОЛОТОГО ВЕКА 96с.</t>
  </si>
  <si>
    <t>978-5-378-27828-2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</si>
  <si>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XIX век — время расцвета русской поэзии. В книге представлены произведения В.А. Жуковского, Д.В. Давыдова, К.Н. Батюшкова, П.А. Вяземского, В.К. Кюхельбекера, А.С. Пушкина, Е.А. Баратынского, Ф.И. Тютчева, М.Ю. Лермонтова.</t>
  </si>
  <si>
    <t>9785378278282</t>
  </si>
  <si>
    <t>Жуковский Василий Андреевич,Давыдов Денис Васильевич,Батюшков Константин Николаевич,Вяземский Пётр Андреевич,Кюхельбекер Вильгельм Карлович,Пушкин Александр Сергеевич,Баратынский Евгений Абрамович,Тютчев Фёдор Иванович,Лермонтов Михаил Юрьевич</t>
  </si>
  <si>
    <t>fa08468cc30ba9e952baeabd12f0a3dc</t>
  </si>
  <si>
    <t>159091</t>
  </si>
  <si>
    <t>ШКОЛЬНАЯ БИБЛИОТЕКА. ПРИКЛЮЧЕНИЯ КАПИТАНА ВРУНГЕЛЯ (А.Некрасов) 176с.</t>
  </si>
  <si>
    <t>978-5-378-31513-0</t>
  </si>
  <si>
    <t>Серия книг «Школьная библиотека» — это коллекция замечательных произведений русской и мировой литературы. Благодаря им каждый школьник познакомится с классическими сюжетами и историями, прикоснётся к удивительному миру художественной литературы и научится чему-то важному. «Приключения капитана Врунгеля» А. С. Некрасова — мир невероятных историй о капитане Врунгеле и его помощниках. Весёлые и поучительные, эти рассказы отправят ребёнка в путешествие на знаменитой парусной яхте «Беда» и познакомят с самыми забавными случаями из жизни отважных и смелых моряков.</t>
  </si>
  <si>
    <t>9785378315130</t>
  </si>
  <si>
    <t>Некрасов Николай Алексеевич</t>
  </si>
  <si>
    <t>aee041b785e42fd243853cd46fb32377</t>
  </si>
  <si>
    <t>248058</t>
  </si>
  <si>
    <t>ШКОЛЬНАЯ БИБЛИОТЕКА. ПРИКЛЮЧЕНИЯ ТОМА СОЙЕРА (М.Твен) 272с.</t>
  </si>
  <si>
    <t>978-5-378-35437-5</t>
  </si>
  <si>
    <t>«Приключения Тома Сойера» - одно из самых ярких произведение в творчестве Марка Твена, которое учит дружбе, смелости, решительности, умению отвечать за свои поступки, а также показывает как важно бороться с несправедливостью и всегда приходить на помощь тем, кто оказался в беде. Эта книга отлично подойдёт для школьников — удобный формат, твёрдая обложка, чёрно-белые иллюстрации.</t>
  </si>
  <si>
    <t>9785378354375</t>
  </si>
  <si>
    <t>Твен Марк</t>
  </si>
  <si>
    <t>a7a7fe133ac1c04f4912514e8cf92ca3</t>
  </si>
  <si>
    <t>169x221x15</t>
  </si>
  <si>
    <t>082343</t>
  </si>
  <si>
    <t>ШКОЛЬНАЯ БИБЛИОТЕКА. ПЬЕСЫ (А. Чехов) 96с.</t>
  </si>
  <si>
    <t>978-5-378-28078-0</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</si>
  <si>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Антон Павлович Чехов – русский писатель и классик мировой литературы, создавший множество гениальных произведений. В данную книгу вошли его пьесы «Чайка» и «Лебединая песня (Калхас)».</t>
  </si>
  <si>
    <t>9785378280780</t>
  </si>
  <si>
    <t>Чехов Антон Павлович</t>
  </si>
  <si>
    <t>77909aff9b5d330fb948efb30fc963dd</t>
  </si>
  <si>
    <t>052389</t>
  </si>
  <si>
    <t>ШКОЛЬНАЯ БИБЛИОТЕКА. РАЗИНЯ И ДРУГИЕ РАССКАЗЫ (Б.С. ЖИТКОВ) 128с.</t>
  </si>
  <si>
    <t>978-5-378-26785-9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</si>
  <si>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Б.С. Житков — потрясающий русский писатель, который подарил своим многочисленным читателям замечательные приключенческие рассказы и повести, удивительные истории о животных и т.д.В сборник вошли такие популярные истории, как «Галка», «Про обезьянку», «Разиня» и др.</t>
  </si>
  <si>
    <t>9785378267859</t>
  </si>
  <si>
    <t>Житков Борис Степанович</t>
  </si>
  <si>
    <t>052390</t>
  </si>
  <si>
    <t>ШКОЛЬНАЯ БИБЛИОТЕКА. РАССКАЗЫ О ДЕТЯХ (Л. Пантелеев) 128с.</t>
  </si>
  <si>
    <t>978-5-378-26783-5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</si>
  <si>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 Пантелеев — советский писатель, который подарил миру множество потрясающих произведений для детей. Эти истории не смогут оставить равнодушными абсолютно никого.</t>
  </si>
  <si>
    <t>9785378267835</t>
  </si>
  <si>
    <t>Пантелеев Леонид</t>
  </si>
  <si>
    <t>1ee0cf1a508baeb5bad0174ac27dfe39</t>
  </si>
  <si>
    <t>072085</t>
  </si>
  <si>
    <t>ШКОЛЬНАЯ БИБЛИОТЕКА. РАССКАЗЫ О ЖИВОТНЫХ (А.И. Куприн) 96с.</t>
  </si>
  <si>
    <t>978-5-378-27790-2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</si>
  <si>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сборник вошли самые замечательные и добрые рассказы Александра Куприна о детях и животных: «Белый пудель», «Слон» и «Ю-ю».</t>
  </si>
  <si>
    <t>9785378277902</t>
  </si>
  <si>
    <t>8b11cc8d7ba38815cf8cb9d96424f006</t>
  </si>
  <si>
    <t>229492</t>
  </si>
  <si>
    <t>ШКОЛЬНАЯ БИБЛИОТЕКА. РАССКАЗЫ О ШКОЛЬНИКАХ 96с.</t>
  </si>
  <si>
    <t>978-5-378-34770-4</t>
  </si>
  <si>
    <t>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сборник вошли рассказы Виктора Драгунского, Валентины Осеевой, Олега Кургузова, Ирины Антоновой, Сергея Георгиева.</t>
  </si>
  <si>
    <t>9785378347704</t>
  </si>
  <si>
    <t>Драгунский Виктор Юзефович, Осеева Валентина Александровна</t>
  </si>
  <si>
    <t>f456333cb1ab66107a14b9fa89ea3c9c</t>
  </si>
  <si>
    <t>052391</t>
  </si>
  <si>
    <t>ШКОЛЬНАЯ БИБЛИОТЕКА. РЕВИЗОР (Н.В. Гоголь) 96с.</t>
  </si>
  <si>
    <t>978-5-378-26865-8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</si>
  <si>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Потрясающее произведение Н.В. Гоголя «Ревизор» высмеивает всё несправедливое и плохое, что было в России того времени, обличая пороки, указывая на недостатки. Многое в комедии актуально и по сей день.</t>
  </si>
  <si>
    <t>9785378268658</t>
  </si>
  <si>
    <t>16dc3672b679d6cbebe0f6ded14725a6</t>
  </si>
  <si>
    <t>082345</t>
  </si>
  <si>
    <t>ШКОЛЬНАЯ БИБЛИОТЕКА. РУСЛАН И ЛЮДМИЛА (А. Пушкин) 112с.</t>
  </si>
  <si>
    <t>978-5-378-28079-7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</si>
  <si>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Поэма Александра Сергеевича Пушкина «Руслан и Людмила» является классикой не только детской, но и русской литературы в целом и известна каждому со школьной скамьи.</t>
  </si>
  <si>
    <t>9785378280797</t>
  </si>
  <si>
    <t>1900c6de9b0ca59c8b0aa09937d2e1e4</t>
  </si>
  <si>
    <t>264428</t>
  </si>
  <si>
    <t>ШКОЛЬНАЯ БИБЛИОТЕКА. СКАЗКА О ПОТЕРЯННОМ ВРЕМЕНИ 96с.</t>
  </si>
  <si>
    <t>978-5-378-35838-0</t>
  </si>
  <si>
    <t>Многие произведения Евгения Шварца хорошо известны и любимы как маленькими читателями, так и взрослыми, именно поэтому мы собрали некоторые из них в одной книге серии "Школьная библиотека". В книгу вошли произведения «Сказка о потерянном времени», «Рассеянный волшебник», «Два брата» и «Приключения Шуры и Маруси». Забавные, трогательные и добрые рассказы Евгения Шварца порадуют читателей от мала до велика.</t>
  </si>
  <si>
    <t>9785378358380</t>
  </si>
  <si>
    <t>Шварц Евгений Львович</t>
  </si>
  <si>
    <t>19dd7b730041eb9ddf2c1e288a31408a</t>
  </si>
  <si>
    <t>253335</t>
  </si>
  <si>
    <t>ШКОЛЬНАЯ БИБЛИОТЕКА. СКАЗКИ (К.И.Чуковский) 128с.</t>
  </si>
  <si>
    <t>978-5-378-35583-9</t>
  </si>
  <si>
    <t>В этот сборник вошли самые любимые сказки Корнея Чуковского. Произведения Корнея Ивановича очень полезны для детей. Они помогают пробудить воображение и фантазию, дают первоначальные представления о добре и зле, учат смелости, доброте, отваге и состраданию. Книга отлично подойдёт для младших школьников — удобный формат, твёрдая обложка, чёрно-белые иллюстрации.</t>
  </si>
  <si>
    <t>9785378355839</t>
  </si>
  <si>
    <t>eaff5b706b6ec40e4c2537da40d39dc9</t>
  </si>
  <si>
    <t>173217</t>
  </si>
  <si>
    <t>ШКОЛЬНАЯ БИБЛИОТЕКА. СКАЗКИ ДЯДЮШКИ РИМУСА (Д.Ч.Харрис) 128с.</t>
  </si>
  <si>
    <t>978-5-378-32350-0</t>
  </si>
  <si>
    <t>И вновь Джоэль в гостях у дядюшки Римуса, а значит, нас всех ждёт новая увлекательная история о приключениях удалого Братца Кролика и его друзей! Эти сказки полны доброты, юмора и мудрости, за что и любимы во многих странах мира. А яркие иллюстрации помогут в полной мере погрузиться в нестандартные и весёлые ситуации.</t>
  </si>
  <si>
    <t>9785378323500</t>
  </si>
  <si>
    <t>36fe0556dfa0ca3462944983af35d7a7</t>
  </si>
  <si>
    <t>052392</t>
  </si>
  <si>
    <t>ШКОЛЬНАЯ БИБЛИОТЕКА. СКАЗКИ ЗАРУБЕЖНЫХ ПИСАТЕЛЕЙ 128с.</t>
  </si>
  <si>
    <t>978-5-378-26756-9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</si>
  <si>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произведения таких потрясающих писателей как Ганса Христиана Андерсена, братьев Гримм и Шарля Перро. Истории этих авторов любимы многими поколениями. Пришло время и вашему ребёнку окунуться в волшебный мир сказки.</t>
  </si>
  <si>
    <t>9785378267569</t>
  </si>
  <si>
    <t>b5286331714a17c107ee5b5212dbd5ba</t>
  </si>
  <si>
    <t>052393</t>
  </si>
  <si>
    <t>ШКОЛЬНАЯ БИБЛИОТЕКА. СКАЗКИ, РАССКАЗЫ, ПОВЕСТИ (Л.Н. Толстой) 128с.</t>
  </si>
  <si>
    <t>978-5-378-26868-9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</si>
  <si>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Л.Н. Толстой — известный русский писатель и мыслитель, а также один из величайших и уважаемых литераторов в мире. В книге собраны его лучшие сказки, рассказы и повести, которые придутся по вкусу любому читателю.</t>
  </si>
  <si>
    <t>9785378268689</t>
  </si>
  <si>
    <t>4b15bec3a686dd40578a9a67cd430e70</t>
  </si>
  <si>
    <t>052394</t>
  </si>
  <si>
    <t>ШКОЛЬНАЯ БИБЛИОТЕКА. СКАЗКИ. СТИХИ (А.С. Пушкин) 128с.</t>
  </si>
  <si>
    <t>978-5-378-26776-7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</si>
  <si>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А.С. Пушкин — замечательнейший поэт XIX века. Он заложил основы русского реалистического направления и часто рассматривается как основоположник современного русского литературного языка. Сборник произведений писателя украсит любую книжную полку.</t>
  </si>
  <si>
    <t>9785378267767</t>
  </si>
  <si>
    <t>8a40a0cecb4476c671a864b38e07712f</t>
  </si>
  <si>
    <t>072090</t>
  </si>
  <si>
    <t>ШКОЛЬНАЯ БИБЛИОТЕКА. СТИХИ (Н.А. Некрасов) 96с.</t>
  </si>
  <si>
    <t>978-5-378-27827-5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</si>
  <si>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Новизна и оригинальность произведений Николая Некрасова была оценена не сразу, потребовалось время, чтобы читатель начал понимать «непоэтичную» поэзию и оценил её по достоинству. Стихи Некрасова занимают особое место в школьной программе.</t>
  </si>
  <si>
    <t>9785378278275</t>
  </si>
  <si>
    <t>082341</t>
  </si>
  <si>
    <t>ШКОЛЬНАЯ БИБЛИОТЕКА. СТИХИ (С. Есенин) 96с.</t>
  </si>
  <si>
    <t>978-5-378-28084-1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</si>
  <si>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Сергей Есенин является выдающимся лириком. Его стихотворения наполнены безграничной любовью и нежностью к родной земле и занимают одно из самых значимых мест в отечественной классической литературе.</t>
  </si>
  <si>
    <t>9785378280841</t>
  </si>
  <si>
    <t>Есенин Сергей Александрович</t>
  </si>
  <si>
    <t>05fa7b480b851ef0a7507369ad27bbfb</t>
  </si>
  <si>
    <t>052395</t>
  </si>
  <si>
    <t>ШКОЛЬНАЯ БИБЛИОТЕКА. СТИХИ И ПОЭМЫ (В.В. Маяковский) 128с.</t>
  </si>
  <si>
    <t>978-5-378-26807-8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</si>
  <si>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Владимир Маяковский является одним из лучших поэтов XX века. Творчество писателя весьма экспрессивно, энергично, оригинально, несомненно оно заслуживает внимания каждого.</t>
  </si>
  <si>
    <t>9785378268078</t>
  </si>
  <si>
    <t>Маяковский Владимир Владимирович</t>
  </si>
  <si>
    <t>69d4c73b8e3c1aefbc8fd484046f2826</t>
  </si>
  <si>
    <t>052396</t>
  </si>
  <si>
    <t>ШКОЛЬНАЯ БИБЛИОТЕКА. СТИХИ И РАССКАЗЫ О ВОВ 112с.</t>
  </si>
  <si>
    <t>978-5-378-26786-6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</si>
  <si>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о ВОВ таких замечательных писателей, как Анна Ахматова, Анатолий Митяев, Константин Симонов и др.</t>
  </si>
  <si>
    <t>9785378267866</t>
  </si>
  <si>
    <t>Ахматова Анна, Митяев Анатолий Васильевич, Симонов Константин и др.</t>
  </si>
  <si>
    <t>919311ea39f431af41bca000e6542055</t>
  </si>
  <si>
    <t>072086</t>
  </si>
  <si>
    <t>ШКОЛЬНАЯ БИБЛИОТЕКА. СТИХИ. ПОЭМЫ (М.Ю. Лермонтов) 96с.</t>
  </si>
  <si>
    <t>978-5-378-27823-7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</si>
  <si>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этой книге вы найдёте произведения Михаила Лермонтова, которые составляют золотой фонд русской литературы. Лермонтов — один из самых выдающихся отечественных писателей, успевший создать немало шедевров за такую короткую жизнь.</t>
  </si>
  <si>
    <t>9785378278237</t>
  </si>
  <si>
    <t>c4b70539f92378d5cda39aff04c4f2f3</t>
  </si>
  <si>
    <t>052398</t>
  </si>
  <si>
    <t>ШКОЛЬНАЯ БИБЛИОТЕКА. ТИМУР И ЕГО КОМАНДА (А.П. Гайдар) 128с.</t>
  </si>
  <si>
    <t>978-5-378-26784-2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</si>
  <si>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А.П. Гайдар — талантливейший детский писатель, который живёт в сердцах множества поколений ребят. Его произведения наполнены искренними светлыми эмоциями, рассказывают о настоящих детских переживаниях, радостях и печалях.</t>
  </si>
  <si>
    <t>9785378267842</t>
  </si>
  <si>
    <t>Гайдар Аркадий Петрович</t>
  </si>
  <si>
    <t>6ea3d2a2043fd7b6980dcd56dc81d2df</t>
  </si>
  <si>
    <t>12.09.2017 0:00:00</t>
  </si>
  <si>
    <t>159095</t>
  </si>
  <si>
    <t>ШКОЛЬНАЯ БИБЛИОТЕКА. ТРИ ТОЛСТЯКА (Ю.Олеша) 176с.</t>
  </si>
  <si>
    <t>978-5-378-31514-7</t>
  </si>
  <si>
    <t>«Школьная библиотека» — серия книг, собравшая интереснейшие произведения школьной программы. Она познакомит ребёнка с шедеврами мировой литературы, подарит путешествие в удивительные миры и станет отличным пополнением в домашней библиотеке. Каждая книга в серии — познавательная и увлекательная. «Три толстяка» Ю. Олеши — это детская книга, которая рассказывает простым языком о важных вещах. Она насыщенна захватывающими приключениями, интригующими тайнами, трогательными историями и трудными препятствиями. Именно с ними предстоит справиться смелым и отважным героям — канатоходцу Тибулу, доктору Гаспару Арнери, замечательной девочке Суок и наследнику Тутти. Книга повествует о том, что добро всегда побеждает зло и что чудеса поджидают нас на каждом шагу!</t>
  </si>
  <si>
    <t>9785378315147</t>
  </si>
  <si>
    <t>c74e01e409744898c66ebd3be654d5e4</t>
  </si>
  <si>
    <t>229491</t>
  </si>
  <si>
    <t>ШКОЛЬНАЯ БИБЛИОТЕКА. ФИЛИПОК И ДРУГИЕ РАССКАЗЫ (Л. Толстой) 96с.</t>
  </si>
  <si>
    <t>978-5-378-34771-1</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</si>
  <si>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этом сборнике представлены избранные рассказы Льва Николаевича Толстого для детей: Филипок, Липунюшка, Косточка и многие другие. </t>
  </si>
  <si>
    <t>9785378347711</t>
  </si>
  <si>
    <t>Толстой Лев Никовалевич</t>
  </si>
  <si>
    <t>0db2691ee7dbfb0cc0c9b4b05b642729</t>
  </si>
  <si>
    <t>161328</t>
  </si>
  <si>
    <t>ШКОЛЬНАЯ БИБЛИОТЕКА. ЧУДЕСНОЕ ПУТЕШЕСТВИЕ НИЛЬСА С ДИКИМИ ГУСЯМИ (С.Лагерлёф) 224с.</t>
  </si>
  <si>
    <t>978-5-378-31666-3</t>
  </si>
  <si>
    <t>Все замечательные произведения отечественной и мировой литературы собраны в серии книг «Школьная библиотека». Эта коллекция — настоящая находка для любого школьника. Каждая книга — интересная, познавательная и увлекательная. «Чудесное приключение Нильса с дикими гусями» шведской писательницы Сельмы Лагерлёф — удивительная и захватывающая история о проказнике Нильсе. За свои проделки Нильс превратился в крошечного человечка. И с этого началось его чудесное приключение. Мальчику предстоит узнать, каково это — быть маленьким и нуждаться в заботе. На протяжении книги мы видим, как он становится мудрее и добрее, проходя все непростые испытания. А помогают Нильсу его новые друзья — дикие гуси.</t>
  </si>
  <si>
    <t>9785378316663</t>
  </si>
  <si>
    <t>Лагерлёф Сельма</t>
  </si>
  <si>
    <t>f5db96995326d98a79691484925c1771</t>
  </si>
  <si>
    <t>052399</t>
  </si>
  <si>
    <t>ШКОЛЬНАЯ БИБЛИОТЕКА. ЧУК И ГЕК (А.П. Гайдар) 128с</t>
  </si>
  <si>
    <t>978-5-378-26757-6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</si>
  <si>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Произведение А.П. Гайдара «Чук и Гек» и другие рассказы наполнены светлым положительным настроем. Писатель вложил в них свои личные потрясающие и добрые воспоминания о детстве.</t>
  </si>
  <si>
    <t>9785378267576</t>
  </si>
  <si>
    <t>ЭНЦИКЛОПЕДИИ И АТЛАСЫ</t>
  </si>
  <si>
    <t>238441</t>
  </si>
  <si>
    <t>ЭНЦИКЛОПЕДИЯ ДЛЯ ДЕВОЧЕК 140х203 глянц.ламин, офсет 55 гр</t>
  </si>
  <si>
    <t>978-5-378-34914-2</t>
  </si>
  <si>
    <t>У тебя в руках замечательная книга, с которой не придётся скучать! В ней ты найдёшь ответы на интересующие тебя вопросы о моде и стиле, секреты красоты, лёгкие и быстрые рецепты блюд, тесты и многое другое! Скорее открывай энциклопедию, ведь в ней тебя ждёт увлекательный мир знаний.</t>
  </si>
  <si>
    <t>9785378349142</t>
  </si>
  <si>
    <t>970bdc6c4a0e2029c595de286fee479a</t>
  </si>
  <si>
    <t>145x203x13</t>
  </si>
  <si>
    <t>258280</t>
  </si>
  <si>
    <t>ЭНЦИКЛОПЕДИЯ ДЛЯ МАЛЬЧИКОВ 145х203 глянц.ламин, тиснение, офсет 55 гр</t>
  </si>
  <si>
    <t>978-5-378-35651-5</t>
  </si>
  <si>
    <t>У тебя в руках замечательная книга, с которой не придётся скучать! В ней ты найдёшь ответы на интересующие тебя вопросы о спорте, полезных привычках, секретах общения и многое другое! Скорее открывай энциклопедию — в ней тебя ждёт увлекательный мир знаний.</t>
  </si>
  <si>
    <t>9785378356515</t>
  </si>
  <si>
    <t>Чиркова Вероника</t>
  </si>
  <si>
    <t>0d3a9ab325f5fabbd5ae2e3f174f8cbf</t>
  </si>
  <si>
    <t>СЕРИЯ: 365 ФАКТОВ. ЭНЦИКЛОПЕДИЯ НА КАЖДЫЙ ДЕНЬ глянц.ламин.офсет 215х288</t>
  </si>
  <si>
    <t>265806</t>
  </si>
  <si>
    <t>Энциклопедия на каждый день. 365 фактов о Великой Отечественной войне. глянц. ламин 215х288</t>
  </si>
  <si>
    <t>978-5-378-35697-3</t>
  </si>
  <si>
    <t>Для чего в Ленинград после снятия блокады привезли кошек? Сколько новых орденов было учреждено во время Великой Отечественной? Почему Парад Победы принимал Г. К. Жуков? Из новой детской энциклопедии вы узнаете об этих и других интересных фактах. А всего их 365, как дней в году, но мы уверены, что вы прочитаете книгу за один. Пополняйте свой багаж знаний и делитесь с друзьями и близкими открытиями!</t>
  </si>
  <si>
    <t>9785378356973</t>
  </si>
  <si>
    <t>Гладкая Елена</t>
  </si>
  <si>
    <t>3afd1357b9f99ca86669c7de5575f701</t>
  </si>
  <si>
    <t>СЕРИЯ: Super ЭНЦИКЛОПЕДИЯ ДЛЯ ДЕВОЧЕК глянц.ламин, КБС,165х195</t>
  </si>
  <si>
    <t>241731</t>
  </si>
  <si>
    <t>Super ЭНЦИКЛОПЕДИЯ ДЛЯ ДЕВОЧЕК. Дружба и общение</t>
  </si>
  <si>
    <t>978-5-378-35199-2</t>
  </si>
  <si>
    <t>Под обложкой этой книги скрывается много советов, которые помогут тебе в общении с другими людьми. Ты научишься находить общий язык со сверстниками, легко справляться с конфликтными ситуациями и буллингом.  Эта книга подскажет тебе, как вести себя в общественных местах, а также как устроить самую классную вечеринку с друзьями!</t>
  </si>
  <si>
    <t>9785378351992</t>
  </si>
  <si>
    <t>d1cf055eaea48fff660224319ea6bfd4</t>
  </si>
  <si>
    <t>165х195х4</t>
  </si>
  <si>
    <t>241728</t>
  </si>
  <si>
    <t>Super ЭНЦИКЛОПЕДИЯ ДЛЯ ДЕВОЧЕК. Красота и уход за собой</t>
  </si>
  <si>
    <t>978-5-378-35200-5</t>
  </si>
  <si>
    <t>Эта книга откроет для тебя самые полезные советы по уходу за собой и научит быть самой красивой! Ты узнаешь, как ухаживать за кожей лица и тела, какие упражнения выполнять, чтобы всегда быть в форме, как правильно краситься, укладывать волосы и какие средства могут помочь тебе в этом.  Также в энциклопедии ты найдёшь увлекательные тесты и ответы на все волнующие тебя вопросы о красоте!</t>
  </si>
  <si>
    <t>9785378352005</t>
  </si>
  <si>
    <t>f94b930d969d0103dfe828a5e0b3de4d</t>
  </si>
  <si>
    <t>241729</t>
  </si>
  <si>
    <t>Super ЭНЦИКЛОПЕДИЯ ДЛЯ ДЕВОЧЕК. Мода и стиль</t>
  </si>
  <si>
    <t>978-5-378-35197-8</t>
  </si>
  <si>
    <t>Эта энциклопедия представляет собой ценный источник модных советов! Ты сможешь узнать, из чего собирается базовый гардероб, как найти свой собственный стиль и подобрать аксессуары в соответствии с особенностями своей внешности. Также с помощью этой книги ты сможешь разобраться в моде ХХ - ХХI веков и составить образ на любой случай жизни!</t>
  </si>
  <si>
    <t>9785378351978</t>
  </si>
  <si>
    <t>d5d752f7b7889ff3fd4c7ee097b092fe</t>
  </si>
  <si>
    <t>241730</t>
  </si>
  <si>
    <t>Super ЭНЦИКЛОПЕДИЯ ДЛЯ ДЕВОЧЕК. Хобби и развлечения</t>
  </si>
  <si>
    <t>978-5-378-35198-5</t>
  </si>
  <si>
    <t>Из этой книги ты узнаешь всё, что нужно знать современной девочке: как найти хобби по душе, как вести собственный видеоблог,  что можно приготовить быстро и вкусно, как выбрать питомца и многое другое! Энциклопедия поможет разобраться в таинственной силе гороскопов и гаданий, а также ты сможешь пройти увлекательные тесты, которые помогут лучше узнать самого себя.</t>
  </si>
  <si>
    <t>9785378351985</t>
  </si>
  <si>
    <t>da72a4c8cabc8403c53030cf9e26b3a3</t>
  </si>
  <si>
    <t>СЕРИЯ: АТЛАСЫ</t>
  </si>
  <si>
    <t>СЕРИЯ: АКТИВИТИ-АТЛАС с наклейками, глянц.ламин. картон.обл.210х275</t>
  </si>
  <si>
    <t>200273</t>
  </si>
  <si>
    <t>АКТИВИТИ-АТЛАС с наклейками. Путешествие вокруг света</t>
  </si>
  <si>
    <t>978-5-378-34149-8</t>
  </si>
  <si>
    <t xml:space="preserve">В нашем мире есть столько прекрасных животных и необычных
мест, о существовании которых ты, возможно, даже не догадывался.
Давай вместе отправимся в самые дальние уголки нашей планеты, чтобы увидеть и узнать много нового! </t>
  </si>
  <si>
    <t>9785378341498</t>
  </si>
  <si>
    <t>210х275х3</t>
  </si>
  <si>
    <t>СЕРИЯ: АТЛАС с наклейками 195х276</t>
  </si>
  <si>
    <t>193098</t>
  </si>
  <si>
    <t>Активити-атлас. Вокруг света</t>
  </si>
  <si>
    <t>978-5-378-34006-4</t>
  </si>
  <si>
    <t xml:space="preserve">Благодаря этому атласу ты не только узнаешь много нового о самых отдаленных местах нашей планеты, но и весело проведешь время, выполняя интересные задания! Помоги путешественнику добраться до древнего храма, найди 4 отличия между двумя зебрами, расшифруй древнее послание и проверь  свою внимательность в викторине. А всеми любимые наклейки точно не оставят тебя равнодушным. Вперед к приключениям! </t>
  </si>
  <si>
    <t>9785378340064</t>
  </si>
  <si>
    <t>193076</t>
  </si>
  <si>
    <t>Атлас динозавров</t>
  </si>
  <si>
    <t>978-5-378-33997-6</t>
  </si>
  <si>
    <t xml:space="preserve">Атласы с наклейками – для любознательных и пытливых детей! В серию вошли четыре книжки по 32 страницы: «Атлас насекомых», «Атлас динозавров», «Атлас. Тело человека», «Атлас мира». Темы представлены основной информацией и фактами емко, но по существу – все, что нужно для погружения в материал дошколятам и ученикам начальных классов. А чтобы осваивать новые знания было нескучно, в каждой брошюре – по 70 наклеек. В атласах мира, насекомых и тела человека их нужно наклеить в определенных местах книг, а из атласа динозавров героев можно использовать для украшения тетрадки или блокнота.  </t>
  </si>
  <si>
    <t>9785378339976</t>
  </si>
  <si>
    <t>193073</t>
  </si>
  <si>
    <t xml:space="preserve">Атлас мира. Материки и континенты  </t>
  </si>
  <si>
    <t>978-5-378-33996-9</t>
  </si>
  <si>
    <t>9785378339969</t>
  </si>
  <si>
    <t>193097</t>
  </si>
  <si>
    <t>Атлас мира. Флаги и страны</t>
  </si>
  <si>
    <t>978-5-378-34005-7</t>
  </si>
  <si>
    <t>Пришла пора пополнять свои географические знания! Побывать на всех континентах, познакомиться с разными странами, их столицами и особенностями, запомнить, как выглядят их государственные флаги, и узнать о самых известных достопримечательностях - всё это можно сделать, не выходя из дома! Атлас "Флаги и страны" поможет тебе в этом!</t>
  </si>
  <si>
    <t>9785378340057</t>
  </si>
  <si>
    <t>193078</t>
  </si>
  <si>
    <t xml:space="preserve">Атлас насекомых </t>
  </si>
  <si>
    <t>978-5-378-33998-3</t>
  </si>
  <si>
    <t>9785378339983</t>
  </si>
  <si>
    <t>193099</t>
  </si>
  <si>
    <t>Атлас. Моя планета</t>
  </si>
  <si>
    <t>978-5-378-34007-1</t>
  </si>
  <si>
    <t>Отправляемся в удивительное приключение по нашей планете! С помощью атласа "Моя планета" тебе предстоит познакомиться с материками, странами и мировыми достопримечательностями. Ты узнаешь, когда был изобретён глобус, сколько длится день на венере, какие животные обитают в Евразии, что является символом Китая и много другое. А в конце нашего путешествия тебя ждёт увлекательная викторина! Вперёд, к новым знаниям!</t>
  </si>
  <si>
    <t>9785378340071</t>
  </si>
  <si>
    <t>193081</t>
  </si>
  <si>
    <t>Атлас. Тело человека</t>
  </si>
  <si>
    <t>978-5-378-33999-0</t>
  </si>
  <si>
    <t>9785378339990</t>
  </si>
  <si>
    <t>193096</t>
  </si>
  <si>
    <t>Географический атлас мира</t>
  </si>
  <si>
    <t>978-5-378-34004-0</t>
  </si>
  <si>
    <t>Пришла пора отправиться в кругосветное путешествие! Побывать на всех континентах, познакомиться с разными странами, узнать о самых известных мировых достопримечательностях, окунуться в разнообразие животного мира, национальных традиций и кулинарии - всё это можно сделать, не выходя из дома! Географический атлас с наклейками поможет тебе в этом!</t>
  </si>
  <si>
    <t>9785378340040</t>
  </si>
  <si>
    <t>СЕРИЯ: БОЛЬШАЯ ЭНЦИКЛОПЕДИЯ  глянц.ламин, тиснение, офсет 217х280</t>
  </si>
  <si>
    <t>192309</t>
  </si>
  <si>
    <t>БОЛЬШАЯ ЭНЦИКЛОПЕДИЯ ДЛЯ ДЕВОЧЕК 128стр</t>
  </si>
  <si>
    <t>978-5-378-33975-4</t>
  </si>
  <si>
    <t>Чем старше ты становишься, тем больше тебе нужно знать и уметь. В голове возникает множество вопросов, ответы на которые нужны незамедлительно.
Как вести здоровый образ жизни? Что такое правильное питание? Какой стиль в одежде выбрать? Как совмещать учёбу и хобби? Обо всём этом, а также многом другом, ты узнаешь из книги, написанной специально для тебя. На красивых удобных страницах ты найдёшь огромное количество полезных советов и интересных фактов на интересующие тебя темы. Вся собранная в энциклопедии информация написана простым доверительным языком, поэтому с каждой прочитанной главой тебе всё больше будет казаться, что ты разговариваешь со своей самой близкой подругой. Скорее открывай книгу, чтобы узнать секрет успеха современной девчонки!</t>
  </si>
  <si>
    <t>9785378339754</t>
  </si>
  <si>
    <t>Балуева Оксана Борисовна,Ленарская Александра Борисовна,Пинчук Елена Ивановна</t>
  </si>
  <si>
    <t>217х282х13</t>
  </si>
  <si>
    <t>102973</t>
  </si>
  <si>
    <t>БОЛЬШАЯ ЭНЦИКЛОПЕДИЯ ДЛЯ ДЕВОЧЕК мат.ламин. уф-лак</t>
  </si>
  <si>
    <t>978-5-378-29028-4</t>
  </si>
  <si>
    <t>Эта энциклопедия поможет тебе узнать много нового: как вести свой блог, как устроить вечеринку, чем заняться в свободное время, как ухаживать за кожей лица и тела, какие упражнения выполнять, чтобы держать себя в форме, и что есть, чтобы держать себя в форме, и что есть, чтобы чувствовать себя здоровой. А также ты раскроешь множество секретов, благодаря которым ты сможешь разобраться в непростых отношениях с твоими родными, друзьями и мальчиком, который тебе нравится. Кроме того, под обложкой ты найдёшь множество увлекательных тестов и ответов на волнующие тебя вопросы о красоте и моде.</t>
  </si>
  <si>
    <t>9785378290284</t>
  </si>
  <si>
    <t>96b7ab6885740816b923b57aea0b1613</t>
  </si>
  <si>
    <t>205х255х18</t>
  </si>
  <si>
    <t>192310</t>
  </si>
  <si>
    <t>БОЛЬШАЯ ЭНЦИКЛОПЕДИЯ ДЛЯ МАЛЬЧИКОВ 128стр</t>
  </si>
  <si>
    <t>978-5-378-33976-1</t>
  </si>
  <si>
    <t>Хочешь раскрыть все тайны Вселенной? Увидеть настоящих динозавров и узнать удивительные факты из истории транспорта? Тогда открывай поскорее эту большую энциклопедию! На её страницах ты найдёшь много интересной и полезной информации о нашей планете и о появлении жизни на ней; о явлениях природы, великих изобретениях, достопримечательностях мира, а также о теле  человека. Яркие красивые иллюстрации и фотографии сделают твоё путешествие в мир знаний ещё более увлекательным и познавательным!</t>
  </si>
  <si>
    <t>9785378339761</t>
  </si>
  <si>
    <t>192311</t>
  </si>
  <si>
    <t>БОЛЬШАЯ ЭНЦИКЛОПЕДИЯ ОБО ВСЁМ ДЛЯ ДЕТЕЙ 176стр</t>
  </si>
  <si>
    <t>978-5-378-33977-8</t>
  </si>
  <si>
    <t>Сколько всего интересного и важного нужно узнать ребёнку! О чём же рассказать ему в первую очередь? Обо всём! И сделает это большая энциклопедия с красивыми яркими фотографиями и иллюстрациями. На страницах книги юный читатель познакомится с редкими видами животных и птиц; узнает, как выглядели динозавры, найдёт ответы на вопросы о загадочной Вселенной и многом другом. Современное оформление страниц и доступная интересная подача информации сделают энциклопедию любимой книгой маленького почемучки. Скорее к новым знаниям и открытиям!</t>
  </si>
  <si>
    <t>9785378339778</t>
  </si>
  <si>
    <t>217х282х15</t>
  </si>
  <si>
    <t xml:space="preserve">СЕРИЯ: ДЕТСКАЯ ЭНЦИКЛОПЕДИЯ В КАРТИНКАХ  </t>
  </si>
  <si>
    <t>268545</t>
  </si>
  <si>
    <t>КОШКИ. Большие секреты маленьких хищников КБС 192х260</t>
  </si>
  <si>
    <t>978-5-378-35945-5</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</si>
  <si>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</si>
  <si>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9785378359455</t>
  </si>
  <si>
    <t>192х260х5</t>
  </si>
  <si>
    <t>267389</t>
  </si>
  <si>
    <t>КОШКИ. БОЛЬШИЕ СЕКРЕТЫ МАЛЕНЬКИХ ХИЩНИКОВ мат.ламин.обл,   203х297</t>
  </si>
  <si>
    <t>978-5-378-35931-8</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</si>
  <si>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</si>
  <si>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9785378359318</t>
  </si>
  <si>
    <t>2d1b0429d8054539f630f8f2038798b4</t>
  </si>
  <si>
    <t>203х297х8</t>
  </si>
  <si>
    <t>185023</t>
  </si>
  <si>
    <t>ТРАНСПОРТ. ЭНЦИКЛОПЕДИЯ ДЛЯ ДЕТЕЙ (синяя) мат.ламин. выбор.лак, офсет 215х288</t>
  </si>
  <si>
    <t>978-5-378-33538-1</t>
  </si>
  <si>
    <t>Думаете, только мальчишки увлечены машинами, самолётами и кораблями? А вот и нет! Согласно последним опросам, современным девчонкам эта тема интересна не меньше. В новую детскую энциклопедию мы включили любопытные факты обо всех видах транспорта: наземном, воздушном, водном. Многие из них станут настоящим открытием даже для взрослых. Что называют Жестяной Лиззи? Где "покоятся" списанные самолёты? Какие развлечения ждут пассажиров самого роскошного океанского лайнера? Итак, поехали - читайте и узнавайте!</t>
  </si>
  <si>
    <t>9785378335381</t>
  </si>
  <si>
    <t>Каграманова Екатерина Рамзиковна</t>
  </si>
  <si>
    <t>288х215х7</t>
  </si>
  <si>
    <t>СЕРИЯ: ЛУЧШАЯ ДЕТСКАЯ ЭНЦИКЛОПЕДИЯ новая 96стр. КБС, глянц.ламин. офсет 197х250</t>
  </si>
  <si>
    <t>228350</t>
  </si>
  <si>
    <t>ЛУЧШАЯ ДЕТСКАЯ ЭНЦИКЛОПЕДИЯ новая 96стр. ЖИВОТНЫЙ МИР ОТ А ДО Я</t>
  </si>
  <si>
    <t>978-5-378-34645-5</t>
  </si>
  <si>
    <t>Каких только животных нет на Земле! Различные млекопитающие, птицы, рыбы, земноводные и пресмыкающиеся, насекомые и паукообразные населяют нашу огромную планету. Предлагаем вашему вниманию увлекательный рассказ о самых разных представителях животного царства. А чтобы вы быстрее нашли интересующее вас животное, все они расположены в книге по алфавиту.</t>
  </si>
  <si>
    <t>9785378346455</t>
  </si>
  <si>
    <t>Соколова Людмила Владимировна</t>
  </si>
  <si>
    <t>197х250х5</t>
  </si>
  <si>
    <t>228351</t>
  </si>
  <si>
    <t>ЛУЧШАЯ ДЕТСКАЯ ЭНЦИКЛОПЕДИЯ новая 96стр. ЭНЦИКЛОПЕДИЯ ДЛЯ МАЛЬЧИКОВ</t>
  </si>
  <si>
    <t>978-5-378-34655-4</t>
  </si>
  <si>
    <t>Компьютеры и смартфоны, хобби и спорт, правила этикета и история оружия – это и многое другое, чем интересуются современные мальчишки, ждёт вас на страницах данной энциклопедии.</t>
  </si>
  <si>
    <t>9785378346554</t>
  </si>
  <si>
    <t>СЕРИЯ: ПЕРВАЯ ДЕТСКАЯ ЭНЦИКЛОПЕДИЯ  48стр. мат.ламин, выб.лак, меловка 170гр 217х280</t>
  </si>
  <si>
    <t>165019</t>
  </si>
  <si>
    <t>ПЕРВАЯ ДЕТСКАЯ ЭНЦИКЛОПЕДИЯ. ВСЁ О ДИНОЗАВРАХ МАЛЫШАМ</t>
  </si>
  <si>
    <t>978-5-378-31905-3</t>
  </si>
  <si>
    <t>Перед вами книга о самых загадочных существах, живших на нашей планете — о динозаврах. Раскрыв её, малыш познакомится с травоядными и плотоядными ящерами, узнает о происхождении их имён, об их повадках и местах обитания. А ещё энциклопедия ответит на множество вопросов, которые волнуют каждого ребёнка: почему вымерли динозавры, каких они были размеров, на кого из современных животных были похожи и что они делали на земле много миллионов лет назад?</t>
  </si>
  <si>
    <t>9785378319053</t>
  </si>
  <si>
    <t>под ред. А. Булавинцевой</t>
  </si>
  <si>
    <t>3f5b844c325ce691f866aa2f568ef96a</t>
  </si>
  <si>
    <t>217х280х7</t>
  </si>
  <si>
    <t>165022</t>
  </si>
  <si>
    <t>ПЕРВАЯ ДЕТСКАЯ ЭНЦИКЛОПЕДИЯ. ВСЁ О ДОМАШНИХ ПИТОМЦАХ МАЛЫШАМ</t>
  </si>
  <si>
    <t>978-5-378-31862-9</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</si>
  <si>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вопросов, волнующих каждого ребёнка: зачем кошки трутся о ноги хозяина, каким видят наш мир собаки, в чём секрет языка хамелеона, для чего игуанам такие длинные когти, почему слизь улитки лечебная и многие другие.</t>
  </si>
  <si>
    <t>9785378318629</t>
  </si>
  <si>
    <t>0341dbbb6710460baaecda69d3c3aabf</t>
  </si>
  <si>
    <t>171763</t>
  </si>
  <si>
    <t>ПЕРВАЯ ДЕТСКАЯ ЭНЦИКЛОПЕДИЯ. ВСЁ О КОСМОСЕ МАЛЫШАМ</t>
  </si>
  <si>
    <t>978-5-378-31863-6</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</si>
  <si>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</si>
  <si>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9785378318636</t>
  </si>
  <si>
    <t>a4830e4881f0573bce1a6bef052ec28f</t>
  </si>
  <si>
    <t>171765</t>
  </si>
  <si>
    <t>ПЕРВАЯ ДЕТСКАЯ ЭНЦИКЛОПЕДИЯ. ВСЁ О КРАСНОЙ КНИГЕ МАЛЫШАМ</t>
  </si>
  <si>
    <t>978-5-378-32199-5</t>
  </si>
  <si>
    <t>Предлагаем любознательным малышам поближе познакомиться с уникальным животным миром России, представители которого занесены в Красную книгу. В яркой энциклопедии собраны самые редкие животные, а также интересные факты и подробности их жизни. Ребёнок найдет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t>
  </si>
  <si>
    <t>9785378321995</t>
  </si>
  <si>
    <t>под ред. Е. Ктиторовой</t>
  </si>
  <si>
    <t>9b8ee733e96428bd4a6f4b5a12f9b094</t>
  </si>
  <si>
    <t>138937</t>
  </si>
  <si>
    <t>ПЕРВАЯ ДЕТСКАЯ ЭНЦИКЛОПЕДИЯ. ВСЁ О МАШИНАХ МАЛЫШАМ</t>
  </si>
  <si>
    <t>978-5-378-30628-2</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</si>
  <si>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вопросов, волнующих каждого ребёнка: почему пожарная машина красного цвета, для чего крутится барабан бетономешалки, зачем самосвалу козырёк, что делают из зерна, почему нужно платить за проезд в автобусе?</t>
  </si>
  <si>
    <t>9785378306282</t>
  </si>
  <si>
    <t>4e7054a46e1c6432281ce03c336c61f3</t>
  </si>
  <si>
    <t>171764</t>
  </si>
  <si>
    <t>ПЕРВАЯ ДЕТСКАЯ ЭНЦИКЛОПЕДИЯ. ВСЁ О НАСЕКОМЫХ МАЛЫШАМ</t>
  </si>
  <si>
    <t>978-5-378-32124-7</t>
  </si>
  <si>
    <t>Приглашаем всех маленьких любителей природы познакомиться с удивительными существами — насекомыми! На страницах яркой познавательной книги малыш встретит не только изображения уже знакомых бабочек и пчёл, но и таких редких представителей мира насекомых, как палочник, богомол и светлячок. Что ест кузнечик, как дышит водяной скорпион, почему клопа называют солдатиком — ответы на все эти вопросы, а также множество интересных фактов ребёнок найдёт в нашей увлекательной энциклопедии!</t>
  </si>
  <si>
    <t>9785378321247</t>
  </si>
  <si>
    <t>28fd84addf84f9e17f709d12d7d17899</t>
  </si>
  <si>
    <t>165017</t>
  </si>
  <si>
    <t>ПЕРВАЯ ДЕТСКАЯ ЭНЦИКЛОПЕДИЯ. ВСЁ О ТЕЛЕ ЧЕЛОВЕКА МАЛЫШАМ</t>
  </si>
  <si>
    <t>978-5-378-31904-6</t>
  </si>
  <si>
    <t>Вы держите в руках энциклопедию, которая в простой и понятной форме расскажет малышу про человеческое тело: как работает иммунитет, что такое гигиена и здоровые привычки, из чего состоит тело человека. Энциклопедия ответит на множество вопросов, волнующих каждого ребёнка: почему важно чистить зубы, почему нельзя пощекотать самого себя, почему появляются синяки, откуда в доме берётся пыль.</t>
  </si>
  <si>
    <t>9785378319046</t>
  </si>
  <si>
    <t>под ред. А. Скворцовой</t>
  </si>
  <si>
    <t>db3b0b5bb72abfdb0371247740771cab</t>
  </si>
  <si>
    <t>СЕРИЯ: ЭНЦИКЛОПЕДИЯ ДЛЯ ДЕВОЧЕК 64стр. глянц.ламин. офсет 100 гр 170х210</t>
  </si>
  <si>
    <t>154798</t>
  </si>
  <si>
    <t>ЭНЦИКЛОПЕДИЯ ДЛЯ ДЕВОЧЕК. СЕКРЕТЫ ДРУЖБЫ И ОБЩЕНИЯ</t>
  </si>
  <si>
    <t>978-5-378-31288-7</t>
  </si>
  <si>
    <t>Эта энциклопедия поделится с тобой секретами отношений с родителями, учителями, друзьями и одноклассниками. Ты научишься находить компромиссы в спорных ситуациях, сможешь легко справиться с любым конфликтом и подружиться со сверстниками. Также ты узнаешь всё об онлайн-общении и о секретах создания успешного блога. Эта книга подскажет тебе, как совместить учёбу, занятия спортом, своё хобби и даже уделить немного времени социальным сетям.</t>
  </si>
  <si>
    <t>9785378312887</t>
  </si>
  <si>
    <t>Балуева Оксана Борисовна,Ктиторова Екатерина Руслановна</t>
  </si>
  <si>
    <t>170x210x7</t>
  </si>
  <si>
    <t>085722</t>
  </si>
  <si>
    <t>ЭНЦИКЛОПЕДИЯ ДЛЯ ДЕВОЧЕК. СЕКРЕТЫ КРАСОТЫ</t>
  </si>
  <si>
    <t>978-5-378-28619-5</t>
  </si>
  <si>
    <t>Эта книга научит тебя быть самой красивой! Ты узнаешь, как ухаживать за своей кожей лица и тела, как делать нюдовый макияж, как укладывать волосы, какие упражнения выполнять,чтобы держать себя в форме, и что есть, чтобы чувствовать себя здоровой. Также в энциклопедии ты найдёшь увлекательные тесты и ответы на все волнующие вопросы о красоте!</t>
  </si>
  <si>
    <t>9785378286195</t>
  </si>
  <si>
    <t>Ленарская Александра Борисовна</t>
  </si>
  <si>
    <t>14.06.2018 0:00:00</t>
  </si>
  <si>
    <t>085724</t>
  </si>
  <si>
    <t>ЭНЦИКЛОПЕДИЯ ДЛЯ ДЕВОЧЕК. СЕКРЕТЫ СОВРЕМЕННОЙ ДЕВЧОНКИ</t>
  </si>
  <si>
    <t>978-5-378-28672-0</t>
  </si>
  <si>
    <t>Из этой книги ты узнаешь всё, что необходимо знать современной девчонке: как вести свой видеоблог, как устроить вечеринку, чем заняться в свободное время, что можно приготовить вкусно и быстро, как выбрать питомца и многое другое!Также в энциклопедии ты найдёшь увлекательные тесты, которые помогут узнать о тебе и твоих друзьях много нового.</t>
  </si>
  <si>
    <t>9785378286720</t>
  </si>
  <si>
    <t>Балуева Оксана Борисовна</t>
  </si>
  <si>
    <t>СЕРИЯ: ЭНЦИКЛОПЕДИЯ ДЛЯ ДЕТЕЙ новые 64стр. глянц.ламин. меловка 170 гр 217х280</t>
  </si>
  <si>
    <t>169849</t>
  </si>
  <si>
    <t>ЭНЦИКЛОПЕДИЯ ДЛЯ ДЕТЕЙ новые. АВТОМОБИЛИ</t>
  </si>
  <si>
    <t>978-5-378-32107-0</t>
  </si>
  <si>
    <t>Какими были самые первые автомобили, что такое краштест, как будет выглядеть машина будущего-об этом и многом другом вы узнаете из нашей увлекательной энциклопедии.</t>
  </si>
  <si>
    <t>9785378321070</t>
  </si>
  <si>
    <t>Тяжлова Ольга Игоревна</t>
  </si>
  <si>
    <t>217х280х10</t>
  </si>
  <si>
    <t>169845</t>
  </si>
  <si>
    <t>ЭНЦИКЛОПЕДИЯ ДЛЯ ДЕТЕЙ новые. КОШКИ</t>
  </si>
  <si>
    <t>978-5-378-32104-9</t>
  </si>
  <si>
    <t>Если вы решили завести кошку, но никак не можете определиться с породой, то эта книга для вас. Здесь вы найдёте много интересной информации о кошках, которая, надеемся, поможет сделать правильный выбор.</t>
  </si>
  <si>
    <t>9785378321049</t>
  </si>
  <si>
    <t>169852</t>
  </si>
  <si>
    <t>ЭНЦИКЛОПЕДИЯ ДЛЯ ДЕТЕЙ новые. КРАСНАЯ КНИГА РОССИИ</t>
  </si>
  <si>
    <t>978-5-378-32110-0</t>
  </si>
  <si>
    <t>Из этой энциклопедии вы узнаете о некоторых редких видах млекопитающих, птиц, земноводных, пресмыкающихся и насекомых, которые охраняются государством и занесены в Красную книгу России.</t>
  </si>
  <si>
    <t>9785378321100</t>
  </si>
  <si>
    <t>169853</t>
  </si>
  <si>
    <t>ЭНЦИКЛОПЕДИЯ ДЛЯ ДЕТЕЙ новые. КТО В ДЖУНГЛЯХ ЖИВЁТ?</t>
  </si>
  <si>
    <t>978-5-378-32111-7</t>
  </si>
  <si>
    <t>Джунгли-густые, непроходимые заросли на территории Южной и Юго-Восточной Азии, а ещё это дом для множества животных. Эта книга предлагает вам познакомиться с удивительными жителями тропических лесов.</t>
  </si>
  <si>
    <t>9785378321117</t>
  </si>
  <si>
    <t>Соколова Ярослава Витальевна</t>
  </si>
  <si>
    <t>169859</t>
  </si>
  <si>
    <t>ЭНЦИКЛОПЕДИЯ ДЛЯ ДЕТЕЙ новые. КТО В ЛЕСУ ЖИВЁТ?</t>
  </si>
  <si>
    <t>978-5-378-32117-9</t>
  </si>
  <si>
    <t>Многочисленные леса нашей планеты-родной дом для самых разных животных и птиц. О наиболее распространённых лесных млекопитающих и пернатых расскажет эта энциклопедия.</t>
  </si>
  <si>
    <t>9785378321179</t>
  </si>
  <si>
    <t>169848</t>
  </si>
  <si>
    <t>ЭНЦИКЛОПЕДИЯ ДЛЯ ДЕТЕЙ новые. ЛОШАДИ</t>
  </si>
  <si>
    <t>978-5-378-32106-3</t>
  </si>
  <si>
    <t xml:space="preserve">Лошади - одни из самых удивительных животных на Земле, с древних времён одомашненные человеком. Сегодня в мире существует множество пород этих четвероногих красавцев. О наиболее известных из них, а также о диких лошадях вы узнаете из этой небольшой энциклопедии. </t>
  </si>
  <si>
    <t>9785378321063</t>
  </si>
  <si>
    <t>169858</t>
  </si>
  <si>
    <t>ЭНЦИКЛОПЕДИЯ ДЛЯ ДЕТЕЙ новые. МИРОВЫЕ ДОСТОПРИМЕЧАТЕЛЬНОСТИ</t>
  </si>
  <si>
    <t>978-5-378-32116-2</t>
  </si>
  <si>
    <t>Наша планета полна удивительных, потрясающих своей красотой мест, будь то памятник, созданный природой, или творение рук человека. О некоторых из них вы можете узнать из этой книги.</t>
  </si>
  <si>
    <t>9785378321162</t>
  </si>
  <si>
    <t>169855</t>
  </si>
  <si>
    <t>ЭНЦИКЛОПЕДИЯ ДЛЯ ДЕТЕЙ новые. НАШИ ЛЮБИМЫЕ ПИТОМЦЫ</t>
  </si>
  <si>
    <t>978-5-378-32113-1</t>
  </si>
  <si>
    <t>Кого завести у себя дома: кошку, собаку, попугая, а может, экзотических хамелеона, мадагаскарского таракана или паука-птицееда? О правилах содержания этих и многих других домашних питомцев и об особенностях ухода за ними вы узнаете из нашей книги.</t>
  </si>
  <si>
    <t>9785378321131</t>
  </si>
  <si>
    <t>169854</t>
  </si>
  <si>
    <t>ЭНЦИКЛОПЕДИЯ ДЛЯ ДЕТЕЙ новые. ОБЕЗЬЯНЫ</t>
  </si>
  <si>
    <t>978-5-378-32112-4</t>
  </si>
  <si>
    <t>О различных видах обезьян, их питании, образе жизни и местах обитания вы узнаете из нашей энциклопедии.</t>
  </si>
  <si>
    <t>9785378321124</t>
  </si>
  <si>
    <t>169860</t>
  </si>
  <si>
    <t>ЭНЦИКЛОПЕДИЯ ДЛЯ ДЕТЕЙ новые. ПОЕЗДА</t>
  </si>
  <si>
    <t>978-5-378-32118-6</t>
  </si>
  <si>
    <t>История развития железнодорожного транспорта, интересные и необычные маршруты, мировые рекорды и новинки - обо всём, что касается поездов, мы расскажем вам в этой увлекательной энциклопедии.</t>
  </si>
  <si>
    <t>9785378321186</t>
  </si>
  <si>
    <t>169857</t>
  </si>
  <si>
    <t>ЭНЦИКЛОПЕДИЯ ДЛЯ ДЕТЕЙ новые. РЕКОРДСМЕНЫ ЖИВОТНОГО МИРА</t>
  </si>
  <si>
    <t>978-5-378-32115-5</t>
  </si>
  <si>
    <t>Какое животное на Земле самое большое? А знаете ли вы самого крупного грызуна или птицу, летающую быстрее всех? Об этих и многих других рекордсменах многочисленного царства животных вы узнаете из данной книги.</t>
  </si>
  <si>
    <t>9785378321155</t>
  </si>
  <si>
    <t>169850</t>
  </si>
  <si>
    <t>ЭНЦИКЛОПЕДИЯ ДЛЯ ДЕТЕЙ новые. СОБАКИ</t>
  </si>
  <si>
    <t>978-5-378-32108-7</t>
  </si>
  <si>
    <t>Планируете завести собаку, но не уверены, какая порода подойдёт вам лучше всего? Эта энциклопедия  поможет вам сделать правильный выбор и узнать много интересных и полезных фактов о наших четвероногих любимцах.</t>
  </si>
  <si>
    <t>9785378321087</t>
  </si>
  <si>
    <t>169851</t>
  </si>
  <si>
    <t>ЭНЦИКЛОПЕДИЯ ДЛЯ ДЕТЕЙ новые. ТЕХНИКА ВОВ</t>
  </si>
  <si>
    <t>978-5-378-32109-4</t>
  </si>
  <si>
    <t>Великая Отечественная война - масштабное и трагическое событие, в ходе которого наши предки самоотверженно и героически обороняли свою родную землю. Но этот подвиг был бы невозможен без огромного количества самой разной военной техники: сухопутной, авиационной и морской. О самых известных и грозных машинах вы узнаете из этой книги.</t>
  </si>
  <si>
    <t>9785378321094</t>
  </si>
  <si>
    <t>Визаулин Александр Юрьевич</t>
  </si>
  <si>
    <t>СЕРИЯ: ЭНЦИКЛОПЕДИЯ ДЛЯ МАЛЕНЬКИХ ПОЧЕМУЧЕК глянц.ламин. офсет 145х200</t>
  </si>
  <si>
    <t>214486</t>
  </si>
  <si>
    <t>ЭНЦИКЛОПЕДИЯ ДЛЯ МАЛЕНЬКИХ ПОЧЕМУЧЕК. Динозавры</t>
  </si>
  <si>
    <t>978-5-378-34378-2</t>
  </si>
  <si>
    <t>Перед вами книга о самых загадочных существах, живших на нашей планете — о динозаврах. Раскрыв её, малыш познакомится с травоядными и хищными ящерами, узнает о происхождении их названий, об их повадках и местах обитания. А ещё энциклопедия ответит на множество вопросов, которые волнуют каждого ребёнка: каких размеров были динозавры, на кого из современных животных были похожи и что они делали на земле много миллионов лет назад.</t>
  </si>
  <si>
    <t>9785378343782</t>
  </si>
  <si>
    <t>Скворцова Александра, Свеженец Леонид</t>
  </si>
  <si>
    <t>145х205х7</t>
  </si>
  <si>
    <t>214488</t>
  </si>
  <si>
    <t>ЭНЦИКЛОПЕДИЯ ДЛЯ МАЛЕНЬКИХ ПОЧЕМУЧЕК. Домашние питомцы</t>
  </si>
  <si>
    <t>978-5-378-34425-3</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</si>
  <si>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интересных вопросов: каким видят наш мир собаки, в чём секрет языка хамелеона, для чего игуанам такие длинные когти, почему слизь улитки лечебная и многие другие.</t>
  </si>
  <si>
    <t>9785378344253</t>
  </si>
  <si>
    <t>Лобко Анастасия, Свеженец Леонид</t>
  </si>
  <si>
    <t>214483</t>
  </si>
  <si>
    <t>ЭНЦИКЛОПЕДИЯ ДЛЯ МАЛЕНЬКИХ ПОЧЕМУЧЕК. Животные фермы</t>
  </si>
  <si>
    <t>978-5-378-34397-3</t>
  </si>
  <si>
    <t>Перед вами познавательная и увлекательная книга. С её помощью малыш откроет для себя интереснейший мир животных. Энциклопедия познакомит ребёнка с самыми разными обитателями фермы — с курицей, коровой, пчёлами и даже с домашним северным оленем. Книга расскажет, как отличить домашнего кролика от зайца и какими интересными способностями обладают гуси. Здесь найдутся ответы на множество вопросов маленького читателя: почему голуби всегда находят свой дом, как животные общаются между собой, зачем кошки вылизывают шерсть и многие другие.</t>
  </si>
  <si>
    <t>9785378343973</t>
  </si>
  <si>
    <t>214487</t>
  </si>
  <si>
    <t>ЭНЦИКЛОПЕДИЯ ДЛЯ МАЛЕНЬКИХ ПОЧЕМУЧЕК. Космос</t>
  </si>
  <si>
    <t>978-5-378-34374-4</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</si>
  <si>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</si>
  <si>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9785378343744</t>
  </si>
  <si>
    <t>214480</t>
  </si>
  <si>
    <t>ЭНЦИКЛОПЕДИЯ ДЛЯ МАЛЕНЬКИХ ПОЧЕМУЧЕК. Красная книга</t>
  </si>
  <si>
    <t>978-5-378-34398-0</t>
  </si>
  <si>
    <t xml:space="preserve">Предлагаем любознательным малышам поближе познакомиться с уникальными видами животных, которые занесены в Красную книгу России.. В яркой энциклопедии собраны самые редкие животные, а также интересные факты и подробности их жизни. Ребёнок найдёт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 </t>
  </si>
  <si>
    <t>9785378343980</t>
  </si>
  <si>
    <t>214482</t>
  </si>
  <si>
    <t>ЭНЦИКЛОПЕДИЯ ДЛЯ МАЛЕНЬКИХ ПОЧЕМУЧЕК. Насекомые</t>
  </si>
  <si>
    <t>978-5-378-34396-6</t>
  </si>
  <si>
    <t>Приглашаем всех маленьких любителей природы познакомиться с удивительными существами — насекомыми! На страницах яркой познавательной книги малыш встретит не только изображения уже знакомых бабочек и пчёл, но и таких редких представителей мира
насекомых, как палочник, богомол и светлячок. Что ест кузнечик, как дышит водяной скорпион, почему клопа называют солдатиком — ответы на все эти вопросы, а также множество интересных фактов ребёнок найдёт в нашей увлекательной энциклопедии!</t>
  </si>
  <si>
    <t>9785378343966</t>
  </si>
  <si>
    <t>214479</t>
  </si>
  <si>
    <t>ЭНЦИКЛОПЕДИЯ ДЛЯ МАЛЕНЬКИХ ПОЧЕМУЧЕК. Тело человека</t>
  </si>
  <si>
    <t>978-5-378-34426-0</t>
  </si>
  <si>
    <t>Вы держите в руках энциклопедию, которая в простой и понятной форме расскажет малышу про человеческое тело: из чего оно состоит, как работает иммунитет, что такое гигиена и здоровые привычки. Энциклопедия ответит на множество вопросов, волнующих каждого ребёнка: почему важно чистить зубы, почему у всех людей разный цвет глаз, что такое сновидения и почему зубы мудрости есть не у всех.</t>
  </si>
  <si>
    <t>9785378344260</t>
  </si>
  <si>
    <t>214485</t>
  </si>
  <si>
    <t>ЭНЦИКЛОПЕДИЯ ДЛЯ МАЛЕНЬКИХ ПОЧЕМУЧЕК. Транспорт</t>
  </si>
  <si>
    <t>978-5-378-34377-5</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</si>
  <si>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интересных вопросов: почему пожарная машина красного цвета, для чего крутится барабан бетономешалки, как работает комбайн, что делают из зерна и почему нужно платить за проезд в автобусе.</t>
  </si>
  <si>
    <t>9785378343775</t>
  </si>
  <si>
    <t>СЕРИЯ: ЭНЦИКЛОПЕДИЯ ДЛЯ ПОДРОСТКОВ глянц.ламин, интеграл. 145х203</t>
  </si>
  <si>
    <t>246446</t>
  </si>
  <si>
    <t>ЭНЦИКЛОПЕДИЯ ДЛЯ ПОДРОСТКОВ. 100 секретов современной девчонки</t>
  </si>
  <si>
    <t>978-5-378-35420-7</t>
  </si>
  <si>
    <t>Эта энциклопедия — верный спутник в мире красоты, здоровья и самовыражения! В ней юные читательницы найдут полезные советы по уходу за собой, секреты здорового образа жизни и вдохновение для создания уникального стиля. Разделы о хобби помогут открыть новые увлечения, от творчества до спорта. Погружайтесь в увлекательный мир, где каждая девочка найдёт что-то особенное для себя!</t>
  </si>
  <si>
    <t>9785378354207</t>
  </si>
  <si>
    <t>9eece1c38fe04f3d10452d761dde911a</t>
  </si>
  <si>
    <t>Интегр</t>
  </si>
  <si>
    <t>143х203х10</t>
  </si>
  <si>
    <t>246448</t>
  </si>
  <si>
    <t>ЭНЦИКЛОПЕДИЯ ДЛЯ ПОДРОСТКОВ. Для настоящих парней</t>
  </si>
  <si>
    <t>978-5-378-35421-4</t>
  </si>
  <si>
    <t>Ты держишь в руках суперэнциклопедию для настоящих мальчишек! Эта книга — твой путеводитель в мир приключений и открытий! Узнай, как завести настоящих друзей и укрепить старые связи, освоив искусство общения. Порадуй окружающих увлекательными
фокусами и трюками, открой для себя школьные лайфхаки, которые помогут сделать учёбу проще и интереснее. Пойми свои чувства и эмоции, научившись их выражать. А также подготовься к приключениям с курсами выживания, которые научат тебя быть смелым и находчивым в любых ситуациях. Погрузись в этот мир знаний и стань настоящим героем!</t>
  </si>
  <si>
    <t>9785378354214</t>
  </si>
  <si>
    <t>Минутин Леонид</t>
  </si>
  <si>
    <t>18ee43d2786b17fe911b0b372635cd0c</t>
  </si>
  <si>
    <t>СЕРИЯ: ЭНЦИКЛОПЕДИЯ. В МИРЕ ЗНАНИЙ  32стр. глянц.ламин. офсет 170х245</t>
  </si>
  <si>
    <t>066133</t>
  </si>
  <si>
    <t>ЭНЦИКЛОПЕДИЯ. В МИРЕ ЗНАНИЙ. КОСМОС</t>
  </si>
  <si>
    <t>978-5-378-27604-2</t>
  </si>
  <si>
    <t>Книга познакомит маленького читателя с такими понятиями, как Вселенная, Галактики, Солнечная система, звёзды, планеты, расскажет историю освоения космоса человеком, и о том, какие дальнейшие планы строят учёные в этом направлении.</t>
  </si>
  <si>
    <t>9785378276042</t>
  </si>
  <si>
    <t>Энциклопедия. В мире знаний.</t>
  </si>
  <si>
    <t>170x247x8</t>
  </si>
  <si>
    <t>90. ПРОДУКЦИЯ НА КАРТОНЕ</t>
  </si>
  <si>
    <t>ВЫРУБКИ НА КАРТОНЕ</t>
  </si>
  <si>
    <t>CЕРИЯ: ВЫРУБКИ НА КАРТОНЕ "БОЛЬШИЕ" гл. ламин 160х220</t>
  </si>
  <si>
    <t>016146</t>
  </si>
  <si>
    <t>ВЫРУБКА БОЛЬШ. АЙБОЛИТ</t>
  </si>
  <si>
    <t>978-5-378-02134-5</t>
  </si>
  <si>
    <t>Картонные книги с необычными формами вырубок отлично подходят для первого знакомства малыша с чтением. Любимые красочно иллюстрированные сказки, простые забавные стишки и потешки для самых маленьких вы найдёте на страницах этих книг из плотного картона. Вам больше не стоит бояться, что малыш испортит книгу в первый же день. Книги из картона достаточно прочные, чтобы ребёнок мог самостоятельно рассматривать яркие картинки и буквы, с которыми вскоре ему предстоит познакомиться.</t>
  </si>
  <si>
    <t>9785378021345</t>
  </si>
  <si>
    <t>Книги на картоне "Большие" (вырубка)</t>
  </si>
  <si>
    <t>160x220x6</t>
  </si>
  <si>
    <t>016155</t>
  </si>
  <si>
    <t>ВЫРУБКА БОЛЬШ. БАРМАЛЕЙ</t>
  </si>
  <si>
    <t>978-5-378-02138-3</t>
  </si>
  <si>
    <t>9785378021383</t>
  </si>
  <si>
    <t>029444</t>
  </si>
  <si>
    <t>ВЫРУБКА БОЛЬШ. КОТ В САПОГАХ</t>
  </si>
  <si>
    <t>978-5-378-22521-7</t>
  </si>
  <si>
    <t>9785378225217</t>
  </si>
  <si>
    <t>05.02.2018 0:00:00</t>
  </si>
  <si>
    <t>192350</t>
  </si>
  <si>
    <t>ВЫРУБКА БОЛЬШ. КОШЕЧКА</t>
  </si>
  <si>
    <t>978-5-378-33925-9</t>
  </si>
  <si>
    <t>Эти очаровательные книги предназначены для самых юных слушателей. Они познакомят малышей с разными животными — щенком, лисёнком, медвежонком и кошечкой. Интересные истории и яркие, красочные иллюстрации обязательно подарят детям хорошее настроение и массу положительными эмоций.</t>
  </si>
  <si>
    <t>9785378339259</t>
  </si>
  <si>
    <t>029457</t>
  </si>
  <si>
    <t>ВЫРУБКА БОЛЬШ. МОЙ МИШКА</t>
  </si>
  <si>
    <t>978-5-378-22283-4</t>
  </si>
  <si>
    <t>9785378222834</t>
  </si>
  <si>
    <t>016172</t>
  </si>
  <si>
    <t>ВЫРУБКА БОЛЬШ. МОЙДОДЫР</t>
  </si>
  <si>
    <t>978-5-378-02136-9</t>
  </si>
  <si>
    <t>9785378021369</t>
  </si>
  <si>
    <t>016144</t>
  </si>
  <si>
    <t>ВЫРУБКА БОЛЬШ. МУХА-ЦОКОТУХА</t>
  </si>
  <si>
    <t>978-5-378-02240-3</t>
  </si>
  <si>
    <t>9785378022403</t>
  </si>
  <si>
    <t>029458</t>
  </si>
  <si>
    <t>ВЫРУБКА БОЛЬШ. МЫ ГУЛЯЛИ В ЗООПАРКЕ</t>
  </si>
  <si>
    <t>978-5-378-22284-1</t>
  </si>
  <si>
    <t>9785378222841</t>
  </si>
  <si>
    <t>Манакова Мария Васильевна</t>
  </si>
  <si>
    <t>016402</t>
  </si>
  <si>
    <t>ВЫРУБКА БОЛЬШ. ПУТАНИЦА</t>
  </si>
  <si>
    <t>978-5-378-02253-3</t>
  </si>
  <si>
    <t>9785378022533</t>
  </si>
  <si>
    <t>029453</t>
  </si>
  <si>
    <t>ВЫРУБКА БОЛЬШ. СКАЗКА О РЫБАКЕ И РЫБКЕ</t>
  </si>
  <si>
    <t>978-5-378-22524-8</t>
  </si>
  <si>
    <t>Картонные книги с необычными формами вырубок отлично подходят для первого знакомства малыша с чтением. Любимые красочно иллюстрированные сказки, простые забавные стишки и потешки для самых маленьких вы найдёте на страницах этих книг из плотного картона. Вам больше не стоит бояться, что малыш испортит книгу в первый же день. Книги из картона достаточно прочные, чтобы ребёнок мог самостоятельно рассматривать яркие картинки и буквы, с которыми вскоре ему предстоит познакомиться. Подарите своему ребёнку сказку!</t>
  </si>
  <si>
    <t>9785378225248</t>
  </si>
  <si>
    <t>029461</t>
  </si>
  <si>
    <t>ВЫРУБКА БОЛЬШ. ТОПОТУШКИ</t>
  </si>
  <si>
    <t>978-5-378-22623-8</t>
  </si>
  <si>
    <t>9785378226238</t>
  </si>
  <si>
    <t>016145</t>
  </si>
  <si>
    <t>ВЫРУБКА БОЛЬШ. ФЕДОРИНО ГОРЕ</t>
  </si>
  <si>
    <t>978-5-378-02140-6</t>
  </si>
  <si>
    <t>9785378021406</t>
  </si>
  <si>
    <t>CЕРИЯ: ВЫРУБКИ НА КАРТОНЕ "СЕРДЕЧКИ" гл. ламин 195х195</t>
  </si>
  <si>
    <t>265814</t>
  </si>
  <si>
    <t>ВЫРУБКА. СЕРДЕЧКИ. ДАВАЙ ДРУЖИТЬ!</t>
  </si>
  <si>
    <t>978-5-378-35906-6</t>
  </si>
  <si>
    <t>На страницах серии книг в форме сердечек оживают самые теплые и нежные моменты любви: мамины объятия, первое знакомство с другом, вкусный бабушкин пирог, забота о любимом питомце. Эти книги станут идеальным подарком для вашего малыша: красочные иллюстрации, милые герои, стихи, каждая строчка которых несет в себе нежность.
Подарите вашему ребенку незабываемые эмоции вместе с нашей серией «книг-сердечек». Особенно приятно читать такие «теплые» книжки в холодные зимние вечера, так что скорее приобретайте их для своих любимых крох!</t>
  </si>
  <si>
    <t>9785378359066</t>
  </si>
  <si>
    <t>eaee06e312a7291d2c538b955b85354e</t>
  </si>
  <si>
    <t>195х195х5</t>
  </si>
  <si>
    <t>265816</t>
  </si>
  <si>
    <t>ВЫРУБКА. СЕРДЕЧКИ. МОЙ ЛЮБИМЫЙ ПИТОМЕЦ</t>
  </si>
  <si>
    <t>978-5-378-35908-0</t>
  </si>
  <si>
    <t>9785378359080</t>
  </si>
  <si>
    <t>0829b06acfe5a2bf178f4cc657d57e1c</t>
  </si>
  <si>
    <t>265815</t>
  </si>
  <si>
    <t>ВЫРУБКА. СЕРДЕЧКИ. МОЯ СЕМЬЯ</t>
  </si>
  <si>
    <t>978-5-378-35907-3</t>
  </si>
  <si>
    <t>9785378359073</t>
  </si>
  <si>
    <t>71617913fafd15195a38db851ca2c641</t>
  </si>
  <si>
    <t>265817</t>
  </si>
  <si>
    <t>ВЫРУБКА. СЕРДЕЧКИ. Я ЛЮБЛЮ МАМУ!</t>
  </si>
  <si>
    <t>978-5-378-35909-7</t>
  </si>
  <si>
    <t>9785378359097</t>
  </si>
  <si>
    <t>c56644125915dc522680a4e701137bf3</t>
  </si>
  <si>
    <t>CЕРИЯ: ВЫРУБКИ НА КАРТОНЕ глянц.ламин. 190х155</t>
  </si>
  <si>
    <t>228310</t>
  </si>
  <si>
    <t>ВЫРУБКИ НА КАРТОНЕ 190х155  ПОЖАРНАЯ МАШИНА</t>
  </si>
  <si>
    <t>978-5-378-34725-4</t>
  </si>
  <si>
    <t xml:space="preserve">Картонные книжки-игрушки с фигурной вырубкой непременно заинтересуют и порадуют малышей. 
Благодаря плотному картону ребенок сможет сам листать страницы: яркие картинки надолго займут его внимание, а еще он легко запомнит простые стихи о важных профессиях и машинах-помощниках. </t>
  </si>
  <si>
    <t>9785378347254</t>
  </si>
  <si>
    <t>190х150х5</t>
  </si>
  <si>
    <t>228314</t>
  </si>
  <si>
    <t>ВЫРУБКИ НА КАРТОНЕ 190х155  ПОЛИЦИЯ</t>
  </si>
  <si>
    <t>978-5-378-34726-1</t>
  </si>
  <si>
    <t>9785378347261</t>
  </si>
  <si>
    <t>228316</t>
  </si>
  <si>
    <t>ВЫРУБКИ НА КАРТОНЕ 190х155  СКОРАЯ ПОМОЩЬ</t>
  </si>
  <si>
    <t>978-5-378-34727-8</t>
  </si>
  <si>
    <t>9785378347278</t>
  </si>
  <si>
    <t>228317</t>
  </si>
  <si>
    <t>ВЫРУБКИ НА КАРТОНЕ 190х155  ТРАКТОР</t>
  </si>
  <si>
    <t>978-5-378-34728-5</t>
  </si>
  <si>
    <t>9785378347285</t>
  </si>
  <si>
    <t>СЕРИЯ: ВЫРУБКИ НА КАРТОНЕ. СКАЗКИ С ЗАКЛАДКАМИ 190х190</t>
  </si>
  <si>
    <t>159127</t>
  </si>
  <si>
    <t>СКАЗКИ С ЗАКЛАДКАМИ. КОЛОБОК</t>
  </si>
  <si>
    <t>978-5-378-31560-4</t>
  </si>
  <si>
    <t xml:space="preserve">Перед вами удивительная книжка, которая отличается от других картонных книг. Каждая её страничка -  с вырубкой-закладкой, которая поможет найти нужный разворот. Малышу будет интересно перелистывать странички и рассматривать героев сказок. Книга выполнена из плотного белого картона и переливается на свету за счёт покрытия лаком. </t>
  </si>
  <si>
    <t>9785378315604</t>
  </si>
  <si>
    <t>190x190x7</t>
  </si>
  <si>
    <t>159129</t>
  </si>
  <si>
    <t>СКАЗКИ С ЗАКЛАДКАМИ. КУРОЧКА РЯБА</t>
  </si>
  <si>
    <t>978-5-378-31562-8</t>
  </si>
  <si>
    <t>9785378315628</t>
  </si>
  <si>
    <t>159130</t>
  </si>
  <si>
    <t>СКАЗКИ С ЗАКЛАДКАМИ. РЕПКА</t>
  </si>
  <si>
    <t>978-5-378-31563-5</t>
  </si>
  <si>
    <t>9785378315635</t>
  </si>
  <si>
    <t>159128</t>
  </si>
  <si>
    <t>СКАЗКИ С ЗАКЛАДКАМИ. ТЕРЕМОК</t>
  </si>
  <si>
    <t>978-5-378-31561-1</t>
  </si>
  <si>
    <t>9785378315611</t>
  </si>
  <si>
    <t>ВЫРУБКИ НА КАРТОНЕ С ГЛАЗКАМИ</t>
  </si>
  <si>
    <t>CЕРИЯ: ВЫРУБКИ НА КАРТОНЕ С ГЛАЗКАМИ "УШКИ" глянц.ламин. 160х220</t>
  </si>
  <si>
    <t>270103</t>
  </si>
  <si>
    <t>ВЫРУБКА с глазками. УШКИ. КОТИК</t>
  </si>
  <si>
    <t>978-5-378-36006-2</t>
  </si>
  <si>
    <t>Представляем вам яркие картонные книги с глазками в виде популярных животных, которых так любят все малыши! Озорной щенок, хитрый котик, косолапый мишка и щекастый хомячок - выбирайте своего любимого героя!
Весёлые подвижные глазки на страницах книги точно заинтересуют малыша, помогут в развитии зрительного восприятия и мелкой моторики. Интересные сюжеты захватят внимание малыша с первых секунд и поближе познакомят его с этими милыми животными. Уверены, что одна из этих книжек точно станет любимицей вашего малыша и он не захочет с ней расставаться ни на минуту. Удивите и порадуйте вашего кроху!</t>
  </si>
  <si>
    <t>9785378360062</t>
  </si>
  <si>
    <t>cf2d431a21c90db528634b25e62b236c</t>
  </si>
  <si>
    <t>157х220х7</t>
  </si>
  <si>
    <t>270105</t>
  </si>
  <si>
    <t>ВЫРУБКА с глазками. УШКИ. МИШКА</t>
  </si>
  <si>
    <t>978-5-378-36008-6</t>
  </si>
  <si>
    <t>9785378360086</t>
  </si>
  <si>
    <t>485b4b909f20d0cb9475e4f8421e19a6</t>
  </si>
  <si>
    <t>270106</t>
  </si>
  <si>
    <t>ВЫРУБКА с глазками. УШКИ. ХОМЯК</t>
  </si>
  <si>
    <t>978-5-378-36009-3</t>
  </si>
  <si>
    <t>9785378360093</t>
  </si>
  <si>
    <t>eb9b2c696d2561a1a56b9696e1752dfc</t>
  </si>
  <si>
    <t>270104</t>
  </si>
  <si>
    <t>ВЫРУБКА с глазками. УШКИ. ЩЕНОК</t>
  </si>
  <si>
    <t>978-5-378-36007-9</t>
  </si>
  <si>
    <t>9785378360079</t>
  </si>
  <si>
    <t>019d7a31a40d3ba87b38751a87a707bc</t>
  </si>
  <si>
    <t>CЕРИЯ: ВЫРУБКИ НА КАРТОНЕ С ГЛАЗКАМИ "ХВОСТИКИ" гл. ламин 155х155</t>
  </si>
  <si>
    <t>013350</t>
  </si>
  <si>
    <t>ХВОСТИКИ. ГДЕ МОЯ МАМА?</t>
  </si>
  <si>
    <t>978-5-378-00247-4</t>
  </si>
  <si>
    <t>Книжки из картона отлично подходят для самых маленьких, ведь родителям не нужно бояться, что книга будет испорчена в первую же секунду. Книжки с глазками и фигурной вырубкой обязательно понравятся малышу и безумно его заинтересуют, ведь в детях столько любознательности и тяги к новым открытиям. Любимые сказки и стихи, собранные на картонных страничках этих книжек придутся по вкусу не только малышам, но и их родителям. Развивайте в своём ребёнке любовь к чтению с самых первых лет вместе с картонными книжками с забавными глазками!</t>
  </si>
  <si>
    <t>9785378002474</t>
  </si>
  <si>
    <t>Книги на картоне с глазками "Хвостики"</t>
  </si>
  <si>
    <t>155х155х6</t>
  </si>
  <si>
    <t>CЕРИЯ: ВЫРУБКИ НА КАРТОНЕ С ГЛАЗКАМИ 22мм глянц.ламин 210х275</t>
  </si>
  <si>
    <t>198634</t>
  </si>
  <si>
    <t>ВЫРУБКА с глазками 22мм. К.ЧУКОВСКИЙ. АЙБОЛИТ</t>
  </si>
  <si>
    <t>978-5-378-34162-7</t>
  </si>
  <si>
    <t>Наши новые подарочные книги А4 формата выполнены в форме вырубок. На обложке красуются пластмассовые глазки, которые обязательно привлекут внимание самых юных слушателей! Книги познакомят малышей с любимыми персонажами Корнея Чуковского. Сказочную историю в книге сопровождают новые красочные иллюстрации. Они обязательно подарят детям хорошее настроение и массу положительными эмоций.</t>
  </si>
  <si>
    <t>9785378341627</t>
  </si>
  <si>
    <t>210х275х7</t>
  </si>
  <si>
    <t>198636</t>
  </si>
  <si>
    <t>ВЫРУБКА с глазками 22мм. К.ЧУКОВСКИЙ. БАРМАЛЕЙ</t>
  </si>
  <si>
    <t>978-5-378-34163-4</t>
  </si>
  <si>
    <t>9785378341634</t>
  </si>
  <si>
    <t>198638</t>
  </si>
  <si>
    <t>ВЫРУБКА с глазками 22мм. К.ЧУКОВСКИЙ. МОЙДОДЫР</t>
  </si>
  <si>
    <t>978-5-378-34164-1</t>
  </si>
  <si>
    <t>9785378341641</t>
  </si>
  <si>
    <t>207186</t>
  </si>
  <si>
    <t>ВЫРУБКА с глазками 22мм. К.ЧУКОВСКИЙ. ПУТАНИЦА</t>
  </si>
  <si>
    <t>978-5-378-34316-4</t>
  </si>
  <si>
    <t>9785378343164</t>
  </si>
  <si>
    <t>207187</t>
  </si>
  <si>
    <t>ВЫРУБКА с глазками 22мм. К.ЧУКОВСКИЙ. ТАРАКАНИЩЕ</t>
  </si>
  <si>
    <t>978-5-378-34317-1</t>
  </si>
  <si>
    <t>9785378343171</t>
  </si>
  <si>
    <t>207188</t>
  </si>
  <si>
    <t>ВЫРУБКА с глазками 22мм. К.ЧУКОВСКИЙ. ТЕЛЕФОН</t>
  </si>
  <si>
    <t>978-5-378-34318-8</t>
  </si>
  <si>
    <t>9785378343188</t>
  </si>
  <si>
    <t>207190</t>
  </si>
  <si>
    <t>ВЫРУБКА с глазками 22мм. К.ЧУКОВСКИЙ. ФЕДОРИНО ГОРЕ</t>
  </si>
  <si>
    <t>978-5-378-34319-5</t>
  </si>
  <si>
    <t>9785378343195</t>
  </si>
  <si>
    <t>ВЫРУБКИ НА КАРТОНЕ С КОЛЁСАМИ</t>
  </si>
  <si>
    <t>CЕРИЯ: ВЫРУБКИ НА КАРТОНЕ С КОЛЕСИКАМИ "МАШИНКИ"  глянц.ламин. 155х135</t>
  </si>
  <si>
    <t>221326</t>
  </si>
  <si>
    <t>КОЛЕСИКИ. ТРАКТОР ВИК 158х130</t>
  </si>
  <si>
    <t>978-5-378-34598-4</t>
  </si>
  <si>
    <t>Книжки с вырубкой и колёсами обязательно понравятся малышам благодаря ярким иллюстрациям и весёлым стихам о любимых героях.</t>
  </si>
  <si>
    <t>9785378345984</t>
  </si>
  <si>
    <t>4b5f9e41e14dedbe7eada091a4309a7c</t>
  </si>
  <si>
    <t>Книги на картоне с колесиками "Машинки"</t>
  </si>
  <si>
    <t>158х140х40</t>
  </si>
  <si>
    <t>126702</t>
  </si>
  <si>
    <t>ТРИ КОТА. КОЛЁСИКИ. ЕДЕМ В ОТПУСК</t>
  </si>
  <si>
    <t>978-5-378-30005-1</t>
  </si>
  <si>
    <t>9785378300051</t>
  </si>
  <si>
    <t>Колёсики. Три кота</t>
  </si>
  <si>
    <t>155х135х40</t>
  </si>
  <si>
    <t>126703</t>
  </si>
  <si>
    <t>ТРИ КОТА. КОЛЁСИКИ. ЖЕЛЕЗНАЯ ДОРОГА</t>
  </si>
  <si>
    <t>978-5-378-30006-8</t>
  </si>
  <si>
    <t>9785378300068</t>
  </si>
  <si>
    <t>CЕРИЯ: ВЫРУБКИ НА КАРТОНЕ С КОЛЁСИКАМИ глянц.ламин. 190х155</t>
  </si>
  <si>
    <t>246452</t>
  </si>
  <si>
    <t>ЦК С КОЛЁСИКАМИ. МОИ ЛЮБИМЫЕ МАШИНКИ</t>
  </si>
  <si>
    <t>978-5-378-35411-5</t>
  </si>
  <si>
    <t>Эти яркие, увлекательные книги познакомят малышей с различными видами транспорта. Они понятно расскажут для чего используется каждая машинка. Книжки можно не только читать и рассматривать, ещё ими можно играть! Колёсики быстро вращаются и машинки мчатся по своим делам!</t>
  </si>
  <si>
    <t>9785378354115</t>
  </si>
  <si>
    <t>190х160х40</t>
  </si>
  <si>
    <t>181652</t>
  </si>
  <si>
    <t>ЦК С КОЛЁСИКАМИ. ПОЛЕЗНЫЕ МАШИНКИ</t>
  </si>
  <si>
    <t>978-5-378-33065-2</t>
  </si>
  <si>
    <t>9785378330652</t>
  </si>
  <si>
    <t>190х155х45</t>
  </si>
  <si>
    <t>246453</t>
  </si>
  <si>
    <t>ЦК С КОЛЁСИКАМИ. ПРИКЛЮЧЕНИЯ ТРАКТОРА</t>
  </si>
  <si>
    <t>978-5-378-35412-2</t>
  </si>
  <si>
    <t>9785378354122</t>
  </si>
  <si>
    <t>181655</t>
  </si>
  <si>
    <t>ЦК С КОЛЁСИКАМИ. ПРО СТРОИТЕЛЬНЫЕ МАШИНЫ</t>
  </si>
  <si>
    <t>978-5-378-33068-3</t>
  </si>
  <si>
    <t>9785378330683</t>
  </si>
  <si>
    <t>190х150х38</t>
  </si>
  <si>
    <t>КНИЖКИ НА КАРТОНЕ</t>
  </si>
  <si>
    <t>CЕРИЯ: КНИЖКИ НА КАРТОНЕ "КУКЛА-КНИЖКА" 7 разворотов 156х280</t>
  </si>
  <si>
    <t>223740</t>
  </si>
  <si>
    <t>КУКЛА-КНИЖКА. АРИША НА ПРОГУЛКЕ</t>
  </si>
  <si>
    <t>978-5-378-34639-4</t>
  </si>
  <si>
    <t>Яркие куклы-книжки точно понравятся вашей малышке. На каждом развороте вас ждёт новый наряд куклы и доброе стихотворение.</t>
  </si>
  <si>
    <t>9785378346394</t>
  </si>
  <si>
    <t>3744524cbe16d9abb7f81ad325a7e907</t>
  </si>
  <si>
    <t>160x280x5</t>
  </si>
  <si>
    <t>136623</t>
  </si>
  <si>
    <t>КУКЛА-КНИЖКА. ВМЕСТЕ С МАМОЙ</t>
  </si>
  <si>
    <t>978-5-378-30540-7</t>
  </si>
  <si>
    <t>9785378305407</t>
  </si>
  <si>
    <t>608d6523da8e1b8cb78b29cfba0241a4</t>
  </si>
  <si>
    <t>136624</t>
  </si>
  <si>
    <t>КУКЛА-КНИЖКА. КОГДА Я ВЫРАСТУ, ТО СТАНУ...</t>
  </si>
  <si>
    <t>978-5-378-30541-4</t>
  </si>
  <si>
    <t>9785378305414</t>
  </si>
  <si>
    <t>223741</t>
  </si>
  <si>
    <t>КУКЛА-КНИЖКА. МИЛАША И ЕЁ ПИТОМЦЫ</t>
  </si>
  <si>
    <t>978-5-378-34640-0</t>
  </si>
  <si>
    <t>9785378346400</t>
  </si>
  <si>
    <t>f8671370b192ff62e79433518da26089</t>
  </si>
  <si>
    <t>136621</t>
  </si>
  <si>
    <t>КУКЛА-КНИЖКА. МОЙ ДЕНЬ</t>
  </si>
  <si>
    <t>978-5-378-30538-4</t>
  </si>
  <si>
    <t>9785378305384</t>
  </si>
  <si>
    <t>a7bea83fd368c0a5cde451b958aa26bd</t>
  </si>
  <si>
    <t>СЕРИЯ: КНИЖКА-ГАРМОШКА, 150х142</t>
  </si>
  <si>
    <t>144100</t>
  </si>
  <si>
    <t>КНИЖКА-ГАРМОШКА. БРЕМЕНСКИЕ МУЗЫКАНТЫ</t>
  </si>
  <si>
    <t>978-5-378-30783-8</t>
  </si>
  <si>
    <t>Самые популярные зарубежные сказки в удобном формате с яркими иллюстрациями наверняка порадуют малышей. Серию пополнили: "Кот в сапогах", "Три поросёнка", "Бременские музыканты", "Гадкий утёнок". "Книжки-гармошки" удобно взять с собой, а деткам интересно раскладывать их самостоятельно.</t>
  </si>
  <si>
    <t>9785378307838</t>
  </si>
  <si>
    <t>Книжка-гармошка</t>
  </si>
  <si>
    <t>150x142x14</t>
  </si>
  <si>
    <t>144101</t>
  </si>
  <si>
    <t>КНИЖКА-ГАРМОШКА. ГАДКИЙ УТЁНОК</t>
  </si>
  <si>
    <t>978-5-378-30784-5</t>
  </si>
  <si>
    <t>9785378307845</t>
  </si>
  <si>
    <t>118250</t>
  </si>
  <si>
    <t>КНИЖКА-ГАРМОШКА. ДИКИЕ ЖИВОТНЫЕ</t>
  </si>
  <si>
    <t>978-5-378-29586-9</t>
  </si>
  <si>
    <t>Красочные книжки-гармошки удобного формата обязательно понравятся как детям, так и их родителям! Две книжки серии познакомят малыша с домашними и дикими животными - на страничках его ждут яркие фотографии и милые стишки. А с книжками-обучайками запоминать цвета и учиться считать будет весело и интересно!</t>
  </si>
  <si>
    <t>9785378295869</t>
  </si>
  <si>
    <t>118248</t>
  </si>
  <si>
    <t>КНИЖКА-ГАРМОШКА. ДОМАШНИЕ ЖИВОТНЫЕ</t>
  </si>
  <si>
    <t>978-5-378-29587-6</t>
  </si>
  <si>
    <t>9785378295876</t>
  </si>
  <si>
    <t>142181</t>
  </si>
  <si>
    <t>КНИЖКА-ГАРМОШКА. КОЛОБОК</t>
  </si>
  <si>
    <t>978-5-378-30733-3</t>
  </si>
  <si>
    <t>9785378307333</t>
  </si>
  <si>
    <t>144102</t>
  </si>
  <si>
    <t>КНИЖКА-ГАРМОШКА. КОТ В САПОГАХ</t>
  </si>
  <si>
    <t>978-5-378-30785-2</t>
  </si>
  <si>
    <t>9785378307852</t>
  </si>
  <si>
    <t>142182</t>
  </si>
  <si>
    <t>КНИЖКА-ГАРМОШКА. КУРОЧКА РЯБА</t>
  </si>
  <si>
    <t>978-5-378-30734-0</t>
  </si>
  <si>
    <t>9785378307340</t>
  </si>
  <si>
    <t>241757</t>
  </si>
  <si>
    <t>КНИЖКА-ГАРМОШКА. РАЗВИВАЕМ ЗРЕНИЕ. ГОЛУБАЯ</t>
  </si>
  <si>
    <t>978-5-378-35227-2</t>
  </si>
  <si>
    <t>Первые месяцы жизни младенцы видят окружающий мир совсем не так, как взрослые люди: сначала малыши воспринимают только чёрный и белый цвет, затем добавляются тёплые красный и жёлтый, а после — синий и зелёный.
Книжка-гармошка «Развиваем зрение» предназначена для детей с рождения. Контрастные чёрно-белые узоры используются для стимуляции зрения, фокусировки и концентрации внимания. Простые цветные картинки способствуют развитию сначала пассивного, а в дальнейшем и активного словарного запаса, изучению простых слов, форм, цветов.
Рассматривать книжку-гармошку можно и в кроватке, и в манеже, и на развивающем коврике. Лёгкая и миниатюрная, она компактно складывается, её удобно брать с собой. Книжка безопасна для детей: изготовлена из плотного картона со скруглёнными углами.</t>
  </si>
  <si>
    <t>9785378352272</t>
  </si>
  <si>
    <t>e01597c31f5de2716648f35a7c1a12d3</t>
  </si>
  <si>
    <t>18.12.2024 0:00:00</t>
  </si>
  <si>
    <t>241758</t>
  </si>
  <si>
    <t>КНИЖКА-ГАРМОШКА. РАЗВИВАЕМ ЗРЕНИЕ. ЗЕЛЁНАЯ</t>
  </si>
  <si>
    <t>978-5-378-35228-9</t>
  </si>
  <si>
    <t>9785378352289</t>
  </si>
  <si>
    <t>49b49bd7695bec043570127b08f4d7c8</t>
  </si>
  <si>
    <t>142179</t>
  </si>
  <si>
    <t>КНИЖКА-ГАРМОШКА. РЕПКА</t>
  </si>
  <si>
    <t>978-5-378-30731-9</t>
  </si>
  <si>
    <t>Красочные книжки-гармошки удобного формата обязательно понравятся как детям, так и их родителям! На страничках книг малыша ждут милые персонажи. Книжки-гармошки удобно взять на прогулку или в дорогу, а самостоятельное раскладывание книги ребёнок развивает мелкую моторику.</t>
  </si>
  <si>
    <t>9785378307319</t>
  </si>
  <si>
    <t>118252</t>
  </si>
  <si>
    <t>КНИЖКА-ГАРМОШКА. СЧЁТ</t>
  </si>
  <si>
    <t>978-5-378-29589-0</t>
  </si>
  <si>
    <t>9785378295890</t>
  </si>
  <si>
    <t>142180</t>
  </si>
  <si>
    <t>КНИЖКА-ГАРМОШКА. ТРИ МЕДВЕДЯ</t>
  </si>
  <si>
    <t>978-5-378-30732-6</t>
  </si>
  <si>
    <t>9785378307326</t>
  </si>
  <si>
    <t>144099</t>
  </si>
  <si>
    <t>КНИЖКА-ГАРМОШКА. ТРИ ПОРОСЁНКА</t>
  </si>
  <si>
    <t>978-5-378-30786-9</t>
  </si>
  <si>
    <t>9785378307869</t>
  </si>
  <si>
    <t>118251</t>
  </si>
  <si>
    <t>КНИЖКА-ГАРМОШКА. ЦВЕТА</t>
  </si>
  <si>
    <t>978-5-378-29588-3</t>
  </si>
  <si>
    <t>9785378295883</t>
  </si>
  <si>
    <t>КНИЖКИ НА КАРТОНЕ "ПАНОРАМЫ"</t>
  </si>
  <si>
    <t>СЕРИЯ: КНИЖКИ-ПАНОРАМКИ 4 разворота 145х203</t>
  </si>
  <si>
    <t>268517</t>
  </si>
  <si>
    <t>КНИЖКИ-ПАНОРАМКИ 4 разворота 145х203. ДОМАШНИЕ ЖИВОТНЫЕ</t>
  </si>
  <si>
    <t>978-5-378-35922-6</t>
  </si>
  <si>
    <t>9785378359226</t>
  </si>
  <si>
    <t>Строителева Анна Владимировна, Купырина Анна Михайловна</t>
  </si>
  <si>
    <t>203х145х13</t>
  </si>
  <si>
    <t>248074</t>
  </si>
  <si>
    <t>КНИЖКИ-ПАНОРАМКИ 4 разворота 145х203. КОЛОБОК</t>
  </si>
  <si>
    <t>978-5-378-35431-3</t>
  </si>
  <si>
    <t>Книжки-панорамки отлично подойдут для первого знакомства малыша с книгами. Любимые русские народные сказки и удивительные иллюстрации, оживающие, когда переворачивается страница, обязательно увлекут даже самых маленьких читателей.</t>
  </si>
  <si>
    <t>9785378354313</t>
  </si>
  <si>
    <t>в обработке Афанасьева А.Н.</t>
  </si>
  <si>
    <t>97d513d28a01c26842dbbd85e8dca27a</t>
  </si>
  <si>
    <t>203х145х15</t>
  </si>
  <si>
    <t>248077</t>
  </si>
  <si>
    <t>КНИЖКИ-ПАНОРАМКИ 4 разворота 145х203. ЛИСИЧКА СЕСТРИЧКА И ВОЛК</t>
  </si>
  <si>
    <t>978-5-378-35432-0</t>
  </si>
  <si>
    <t>9785378354320</t>
  </si>
  <si>
    <t>646ee78998a79ef0347f00502cd3e395</t>
  </si>
  <si>
    <t>268519</t>
  </si>
  <si>
    <t>КНИЖКИ-ПАНОРАМКИ 4 разворота 145х203. МАМЫ И МАЛЫШИ</t>
  </si>
  <si>
    <t>978-5-378-35923-3</t>
  </si>
  <si>
    <t>9785378359233</t>
  </si>
  <si>
    <t>248080</t>
  </si>
  <si>
    <t>КНИЖКИ-ПАНОРАМКИ 4 разворота 145х203. МАШЕНЬКА И МЕДВЕДЬ</t>
  </si>
  <si>
    <t>978-5-378-35433-7</t>
  </si>
  <si>
    <t>9785378354337</t>
  </si>
  <si>
    <t>в обработке Авдеевой Е.А.</t>
  </si>
  <si>
    <t>23d2b02bc40f6aba369bbc9cf64e4c0c</t>
  </si>
  <si>
    <t>248081</t>
  </si>
  <si>
    <t>КНИЖКИ-ПАНОРАМКИ 4 разворота 145х203. РЕПКА</t>
  </si>
  <si>
    <t>978-5-378-35434-4</t>
  </si>
  <si>
    <t>9785378354344</t>
  </si>
  <si>
    <t>в обработке Ушинского К.Д.</t>
  </si>
  <si>
    <t>f9564ff56c59b7125dbecce62596f78d</t>
  </si>
  <si>
    <t>СЕРИЯ: КНИЖКИ-ПАНОРАМКИ 4 разворота 270х207</t>
  </si>
  <si>
    <t>165133</t>
  </si>
  <si>
    <t>КНИЖКИ-ПАНОРАМКИ 4 разворота. АЙБОЛИТ</t>
  </si>
  <si>
    <t>978-5-378-31702-8</t>
  </si>
  <si>
    <t>Эти книги-панорамки предназначены для самых юных слушателей. Они познакомят малышей с Айболитом, Мойдодыром, Колобком, Машенькой. Каждую сказочную историю сопровождают красочные 3D картинки. Они обязательно подарят детям хорошее настроение и массу положительных эмоций.</t>
  </si>
  <si>
    <t>9785378317028</t>
  </si>
  <si>
    <t>270x205x13</t>
  </si>
  <si>
    <t>094607</t>
  </si>
  <si>
    <t>КНИЖКИ-ПАНОРАМКИ 4 разворота. ИГРАЕМ КРУГЛЫЙ ГОД</t>
  </si>
  <si>
    <t>978-5-378-28886-1</t>
  </si>
  <si>
    <t>Книжки-панорамки отлично подойдут для первого знакомства вашего малыша с книгами. Удивительные красочные иллюстрации, оживающие, когда переворачивается страница, обязательно заинтересуют даже самых маленьких.</t>
  </si>
  <si>
    <t>9785378288861</t>
  </si>
  <si>
    <t>6c447f71fed574c7d4d898edd48d1c32</t>
  </si>
  <si>
    <t>Книжки на картоне "Панорамы"</t>
  </si>
  <si>
    <t>094606</t>
  </si>
  <si>
    <t>КНИЖКИ-ПАНОРАМКИ 4 разворота. КОСМИЧЕСКИЙ ПОЛЁТ</t>
  </si>
  <si>
    <t>978-5-378-28887-8</t>
  </si>
  <si>
    <t>9785378288878</t>
  </si>
  <si>
    <t>110610</t>
  </si>
  <si>
    <t>КНИЖКИ-ПАНОРАМКИ 4 разворота. КТО ЖИВЁТ В ОКЕАНЕ?</t>
  </si>
  <si>
    <t>978-5-378-29240-0</t>
  </si>
  <si>
    <t>9785378292400</t>
  </si>
  <si>
    <t>165134</t>
  </si>
  <si>
    <t>КНИЖКИ-ПАНОРАМКИ 4 разворота. МОЙДОДЫР</t>
  </si>
  <si>
    <t>978-5-378-31703-5</t>
  </si>
  <si>
    <t>9785378317035</t>
  </si>
  <si>
    <t>db7ef0c91ed5d3547757c64764e5fbf8</t>
  </si>
  <si>
    <t>192040</t>
  </si>
  <si>
    <t>КНИЖКИ-ПАНОРАМКИ 4 разворота. ТРАКТОР ВИК И ЕГО ДРУЗЬЯ</t>
  </si>
  <si>
    <t>978-5-378-33931-0</t>
  </si>
  <si>
    <t xml:space="preserve">Эта панорамка – удивительная книжка! Историю в стихах о маленьком тракторе и его мечте о гонках дополняют яркие иллюстрации, которые будто оживают, когда переворачиваешь страницу. </t>
  </si>
  <si>
    <t>9785378339310</t>
  </si>
  <si>
    <t>1f8564a5d656845009e25b9b11e35904</t>
  </si>
  <si>
    <t>198641</t>
  </si>
  <si>
    <t>КНИЖКИ-ПАНОРАМКИ 4 разворота. УДИВИТЕЛЬНЫЕ ДИНОЗАВРЫ</t>
  </si>
  <si>
    <t>978-5-378-34161-0</t>
  </si>
  <si>
    <t xml:space="preserve">Эта книга-панорамка предназначена для самых юных читателей. Она познакомит малышей с удивительными динозаврами, населявшими нашу планету миллионы лет тому назад. Объёмные яркие иллюстрации в книге подарят детям хорошее настроение и массу положительными эмоций. </t>
  </si>
  <si>
    <t>9785378341610</t>
  </si>
  <si>
    <t>СЕРИЯ: СБОРНИКИ-ПАНОРАМКИ 16 разворотов 230х170</t>
  </si>
  <si>
    <t>258343</t>
  </si>
  <si>
    <t>СБОРНИК-ПАНОРАМКА 16 разворотов. ДЛЯ МАЛЫШЕЙ: СКАЗКИ, СТИХИ, ПОТЕШКИ</t>
  </si>
  <si>
    <t>978-5-378-35679-9</t>
  </si>
  <si>
    <t>Книжка-панорамка для малышей предназначен для самых юных слушателей. Она познакомит малышей с популярными стихами, сказками и потешками для самых маленьких читателей. Внутри книги малыша ждут 8 сюжетов: сказки "Репка", "Мужик и медведь", потешки "Жили у бабуси", "Идёт коза рогатая" и другие произведения.
Иллюстрации в книге яркие, сочные, живые. В книге 16 разворотов, и на каждом из них малышу встретится объёмная 3D картинка.</t>
  </si>
  <si>
    <t>9785378356799</t>
  </si>
  <si>
    <t>Свириденко София Александровна, Иванова Оксана Владимировна, Толстой Алексей Николаевич, Капица Ольга, Афанасьев Александр Николаевич</t>
  </si>
  <si>
    <t>2705f23f88cdeeea326992376882d11e</t>
  </si>
  <si>
    <t>230х170х42</t>
  </si>
  <si>
    <t>261459</t>
  </si>
  <si>
    <t>СБОРНИК-ПАНОРАМКА 16 разворотов. К.ЧУКОВСКИЙ. ДЛЯ ДЕТЕЙ</t>
  </si>
  <si>
    <t>978-5-378-35766-6</t>
  </si>
  <si>
    <t>Книжка-панорамка для малышей предназначен для самых юных слушателей. Она познакомит малышей с популярными произведения К. И. Чуковского. Внутри книги малыша ждут 4 сказки: "Бармалей", "Путаница", "Федорино горе", "Тараканище".
Иллюстрации в книге яркие, сочные, живые. В книге 16 разворотов, и на каждом из них малышу встретится объёмная 3D картинка.</t>
  </si>
  <si>
    <t>9785378357666</t>
  </si>
  <si>
    <t>5df857937f63cd6faf4909e66dec7dda</t>
  </si>
  <si>
    <t>198649</t>
  </si>
  <si>
    <t>СБОРНИК-ПАНОРАМКА 16 разворотов. К.ЧУКОВСКИЙ. СКАЗКИ</t>
  </si>
  <si>
    <t>978-5-378-34166-5</t>
  </si>
  <si>
    <t>Этот сборник сказок в формате панорамки предназначен для самых юных слушателей. Он познакомит малышей с творчеством Корнея Ивановича Чуковского, его удивительными героями. Внутри книги малыша ждут четыре сказочные истории: Айболит, Мойдодыр, Муха-Цокотуха, Телефон.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Корнея Чуковского станет одной из любимых в детской библиотека. Она обязательно подарит детям хорошее настроение и массу положительными эмоций.</t>
  </si>
  <si>
    <t>9785378341665</t>
  </si>
  <si>
    <t>198651</t>
  </si>
  <si>
    <t>СБОРНИК-ПАНОРАМКА 16 разворотов. ЛЮБИМЫЕ СКАЗКИ</t>
  </si>
  <si>
    <t>978-5-378-34167-2</t>
  </si>
  <si>
    <t>Этот сборник сказок в формате панорамки предназначен для самых юных слушателей. Он познакомит малышей с самыми популярными русскими народными и зарубежными сказками. Внутри книги малыша ждут четыре сказочные истории: Колобок, Машенька и медведь, Волк и семеро козлят, Кот в сапогах.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«Любимые сказки» станет одной из любимых в детской библиотека. Она обязательно подарит детям хорошее настроение и массу положительными эмоций.</t>
  </si>
  <si>
    <t>9785378341672</t>
  </si>
  <si>
    <t>245236</t>
  </si>
  <si>
    <t>СБОРНИК-ПАНОРАМКА 16 разворотов. СИНИЙ ТРАКТОР. ВЕСЁЛЫЕ ПЕСЕНКИ</t>
  </si>
  <si>
    <t>978-5-378-35380-4</t>
  </si>
  <si>
    <t>Внутри книжки-панорамки «СИНИЙ ТРАКТОР» малышей ждут 4 популярные песенки из мультфильма. 16 разворотов с любимыми героями, весёлыми стихами, красочными иллюстрациями и оживающими объёмными картинками надолго увлекут даже самых маленьких читателей.</t>
  </si>
  <si>
    <t>9785378353804</t>
  </si>
  <si>
    <t>ad26fd415a71166252e4b01d305323ad</t>
  </si>
  <si>
    <t>230х165х45</t>
  </si>
  <si>
    <t>КНИЖКИ НА КАРТОНЕ С ГЛАЗКАМИ</t>
  </si>
  <si>
    <t>СЕРИЯ: КНИЖКИ НА КАРТОНЕ С ГЛАЗКАМИ 160х220</t>
  </si>
  <si>
    <t>225065</t>
  </si>
  <si>
    <t>ГЛАЗКИ 15мм. КОЛОБОК (на платочке)</t>
  </si>
  <si>
    <t>978-5-378-34668-4</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</si>
  <si>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</si>
  <si>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9785378346684</t>
  </si>
  <si>
    <t>ред. Лобко Анастасия</t>
  </si>
  <si>
    <t>9656eb07920226eef78e3e0983a5858f</t>
  </si>
  <si>
    <t>Книги с глазками</t>
  </si>
  <si>
    <t>160х220х4</t>
  </si>
  <si>
    <t>225066</t>
  </si>
  <si>
    <t>ГЛАЗКИ 15мм. РЕПКА (дед, кот и собака)</t>
  </si>
  <si>
    <t>978-5-378-34669-1</t>
  </si>
  <si>
    <t>9785378346691</t>
  </si>
  <si>
    <t>dd9d117d3365829c6b218729c0f068a7</t>
  </si>
  <si>
    <t>017125</t>
  </si>
  <si>
    <t>ГЛАЗКИ. БАРМАЛЕЙ (В КРАСНОЙ БАНДАНЕ)</t>
  </si>
  <si>
    <t>978-5-378-02728-6</t>
  </si>
  <si>
    <t>9785378027286</t>
  </si>
  <si>
    <t>263118</t>
  </si>
  <si>
    <t>ГЛАЗКИ. БРЕМЕНСКИЕ МУЗЫКАНТЫ</t>
  </si>
  <si>
    <t>978-5-378-35790-1</t>
  </si>
  <si>
    <t>9785378357901</t>
  </si>
  <si>
    <t>Адаптация текста в пересказе Снессоревой С.И.</t>
  </si>
  <si>
    <t>e4559a73761a9ddb7f83b47bb2dfabc6</t>
  </si>
  <si>
    <t>016416</t>
  </si>
  <si>
    <t>ГЛАЗКИ. ВЫШЕЛ ЗАЙЧИК ПОГУЛЯТЬ</t>
  </si>
  <si>
    <t>978-5-378-02422-3</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</si>
  <si>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</si>
  <si>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9785378024223</t>
  </si>
  <si>
    <t>261457</t>
  </si>
  <si>
    <t>ГЛАЗКИ. Г.Х.АНДЕРСЕН. ГАДКИЙ УТЁНОК</t>
  </si>
  <si>
    <t>978-5-378-35772-7</t>
  </si>
  <si>
    <t>9785378357727</t>
  </si>
  <si>
    <t>742bb73d579725bd4014c2f2e84e7017</t>
  </si>
  <si>
    <t>017169</t>
  </si>
  <si>
    <t>ГЛАЗКИ. ГУСИ-ГУСИ!-ГА-ГА-ГА! (ГУСИ)</t>
  </si>
  <si>
    <t>978-5-378-02730-9</t>
  </si>
  <si>
    <t>9785378027309</t>
  </si>
  <si>
    <t>241644</t>
  </si>
  <si>
    <t>ГЛАЗКИ. ДВА ВЕСЁЛЫХ ГУСЯ</t>
  </si>
  <si>
    <t>978-5-378-35229-6</t>
  </si>
  <si>
    <t>9785378352296</t>
  </si>
  <si>
    <t>1daf5c621eeb9174d9dd0e9bc077f21c</t>
  </si>
  <si>
    <t>242333</t>
  </si>
  <si>
    <t>ГЛАЗКИ. ЖИВОТНЫЕ И ИХ ДЕТЁНЫШИ</t>
  </si>
  <si>
    <t>978-5-378-35276-0</t>
  </si>
  <si>
    <t>Новая серия обучающих картонных книг с глазками превратит занятия с ребёнком в увлекательную игру. Яркие образы и красочные иллюстрации привлекут внимание крохи, который с удовольствием будет рассматривать картинки, слушать стихи и изучать новое. В серию входят книги "Цвета и формы", "Техника и транспорт", "Учимся считать", "Животные и их детёныши", в каждой по 5 разворотов.</t>
  </si>
  <si>
    <t>9785378352760</t>
  </si>
  <si>
    <t>264413</t>
  </si>
  <si>
    <t>ГЛАЗКИ. ЗАЮШКИНА ИЗБУШКА (новая)</t>
  </si>
  <si>
    <t>978-5-378-35849-6</t>
  </si>
  <si>
    <t>На плотных картонных страницах книг этой серии собраны только самые лучшие стихи и потешки. Малышу понравятся красочные иллюстрации, и он обязательно заинтересуется чтением, а подвижные глазки превратит чтение в увлекательную игру.</t>
  </si>
  <si>
    <t>9785378358496</t>
  </si>
  <si>
    <t>адаптация в обработке Афанасьева А.Н.</t>
  </si>
  <si>
    <t>66bddcfdb0215a56a77d9809a1641414</t>
  </si>
  <si>
    <t>263120</t>
  </si>
  <si>
    <t>ГЛАЗКИ. ЗИМОВЬЕ ЗВЕРЕЙ</t>
  </si>
  <si>
    <t>978-5-378-35788-8</t>
  </si>
  <si>
    <t>9785378357888</t>
  </si>
  <si>
    <t>b179c92655ee221a58178fd72668ddde</t>
  </si>
  <si>
    <t>260537</t>
  </si>
  <si>
    <t>ГЛАЗКИ. ИДЕТ КОЗА РОГАТАЯ (новая)</t>
  </si>
  <si>
    <t>978-5-378-35742-0</t>
  </si>
  <si>
    <t>9785378357420</t>
  </si>
  <si>
    <t>e5a52254882b3b0464e425e8c1c25729</t>
  </si>
  <si>
    <t>240173</t>
  </si>
  <si>
    <t>ГЛАЗКИ. К.Чуковский. АЙБОЛИТ</t>
  </si>
  <si>
    <t>978-5-378-35209-8</t>
  </si>
  <si>
    <t>Эти книги предназначены для самых юных слушателей. Они познакомят малышей с Айболитом, Бармалеем, усатым Тараканом, Федорой Егоровной и другими занимательными персонажами Корнея Чуковского, а также Курочкой Рябой и двумя весёлыми гусями. Каждую сказочную историю сопровождают красочные иллюстрации. Они обязательно подарят детям хорошее настроение и массу положительными эмоций.</t>
  </si>
  <si>
    <t>9785378352098</t>
  </si>
  <si>
    <t>937442cdd8b9f028247c059ecb50f9c5</t>
  </si>
  <si>
    <t>243725</t>
  </si>
  <si>
    <t>ГЛАЗКИ. К.Чуковский. БАРМАЛЕЙ</t>
  </si>
  <si>
    <t>978-5-378-35318-7</t>
  </si>
  <si>
    <t>9785378353187</t>
  </si>
  <si>
    <t>f23dc434a65743d82b9fe429f8212c5c</t>
  </si>
  <si>
    <t>245149</t>
  </si>
  <si>
    <t>ГЛАЗКИ. К.Чуковский. МОЙДОДЫР</t>
  </si>
  <si>
    <t>978-5-378-35388-0</t>
  </si>
  <si>
    <t>9785378353880</t>
  </si>
  <si>
    <t>243726</t>
  </si>
  <si>
    <t>ГЛАЗКИ. К.Чуковский. МУХА-ЦОКОТУХА</t>
  </si>
  <si>
    <t>978-5-378-35319-4</t>
  </si>
  <si>
    <t>9785378353194</t>
  </si>
  <si>
    <t>c0962bf161729872f71013cac5381d2f</t>
  </si>
  <si>
    <t>243727</t>
  </si>
  <si>
    <t>ГЛАЗКИ. К.Чуковский. ПУТАНИЦА</t>
  </si>
  <si>
    <t>978-5-378-35320-0</t>
  </si>
  <si>
    <t>9785378353200</t>
  </si>
  <si>
    <t>4673a3f5e47f29d8f228b1d33f04cb3f</t>
  </si>
  <si>
    <t>245150</t>
  </si>
  <si>
    <t>ГЛАЗКИ. К.Чуковский. ТАРАКАНИЩЕ</t>
  </si>
  <si>
    <t>978-5-378-35389-7</t>
  </si>
  <si>
    <t>9785378353897</t>
  </si>
  <si>
    <t>243728</t>
  </si>
  <si>
    <t>ГЛАЗКИ. К.Чуковский. ТЕЛЕФОН</t>
  </si>
  <si>
    <t>978-5-378-35321-7</t>
  </si>
  <si>
    <t>9785378353217</t>
  </si>
  <si>
    <t>7273f7a14316f207a9bdf692f17e073c</t>
  </si>
  <si>
    <t>240175</t>
  </si>
  <si>
    <t>ГЛАЗКИ. К.Чуковский. ФЕДОРИНО ГОРЕ</t>
  </si>
  <si>
    <t>978-5-378-35210-4</t>
  </si>
  <si>
    <t>9785378352104</t>
  </si>
  <si>
    <t>e14fd9b40b769febb9d814ea63bf4949</t>
  </si>
  <si>
    <t>161334</t>
  </si>
  <si>
    <t>ГЛАЗКИ. КИСОНЬКА-МУРЫСОНЬКА (КОШКА С ШАРФОМ) (Строителева)</t>
  </si>
  <si>
    <t>978-5-378-31667-0</t>
  </si>
  <si>
    <t>9785378316670</t>
  </si>
  <si>
    <t>264412</t>
  </si>
  <si>
    <t>ГЛАЗКИ. КОТ В САПОГАХ (новая)</t>
  </si>
  <si>
    <t>978-5-378-35850-2</t>
  </si>
  <si>
    <t>9785378358502</t>
  </si>
  <si>
    <t>c17edee3899bb66a8a36f667fe6bdb6d</t>
  </si>
  <si>
    <t>260538</t>
  </si>
  <si>
    <t>ГЛАЗКИ. КОШКИН ДОМ (новая)</t>
  </si>
  <si>
    <t>978-5-378-35743-7</t>
  </si>
  <si>
    <t>9785378357437</t>
  </si>
  <si>
    <t>2e6165e3b1887e776f1f3bb59f517413</t>
  </si>
  <si>
    <t>017292</t>
  </si>
  <si>
    <t>ГЛАЗКИ. КРАДЕНОЕ СОЛНЦЕ (МЕДВЕДЬ)</t>
  </si>
  <si>
    <t>978-5-378-02638-8</t>
  </si>
  <si>
    <t>9785378026388</t>
  </si>
  <si>
    <t>241645</t>
  </si>
  <si>
    <t>ГЛАЗКИ. КУРОЧКА РЯБА</t>
  </si>
  <si>
    <t>978-5-378-35230-2</t>
  </si>
  <si>
    <t>9785378352302</t>
  </si>
  <si>
    <t>Ушинский Константин Дмитриевич</t>
  </si>
  <si>
    <t>cbffa43b7d2ce989ac509168023386cb</t>
  </si>
  <si>
    <t>016387</t>
  </si>
  <si>
    <t>ГЛАЗКИ. ЛАДУШКИ</t>
  </si>
  <si>
    <t>978-5-378-02421-6</t>
  </si>
  <si>
    <t>9785378024216</t>
  </si>
  <si>
    <t>17.05.2017 0:00:00</t>
  </si>
  <si>
    <t>016386</t>
  </si>
  <si>
    <t>ГЛАЗКИ. ЛИСИЧКА СО СКАЛОЧКОЙ</t>
  </si>
  <si>
    <t>978-5-378-02420-9</t>
  </si>
  <si>
    <t>9785378024209</t>
  </si>
  <si>
    <t>14.02.2017 0:00:00</t>
  </si>
  <si>
    <t>221924</t>
  </si>
  <si>
    <t>ГЛАЗКИ. ЛУЧШИЙ ДЛЯ МАМЫ</t>
  </si>
  <si>
    <t>978-5-378-34617-2</t>
  </si>
  <si>
    <t>9785378346172</t>
  </si>
  <si>
    <t>261456</t>
  </si>
  <si>
    <t>ГЛАЗКИ. МАШИНЫ</t>
  </si>
  <si>
    <t>978-5-378-35773-4</t>
  </si>
  <si>
    <t>9785378357734</t>
  </si>
  <si>
    <t>Купырина Анна Михайловна,Манакова Мария Васильевна</t>
  </si>
  <si>
    <t>fab804ee85a96bc1f412097c0f4000d2</t>
  </si>
  <si>
    <t>017319</t>
  </si>
  <si>
    <t>ГЛАЗКИ. НУЖНЫЕ МАШИНЫ</t>
  </si>
  <si>
    <t>978-5-378-02815-3</t>
  </si>
  <si>
    <t>9785378028153</t>
  </si>
  <si>
    <t>Нестеренко Владимир Дмитриевич</t>
  </si>
  <si>
    <t>261458</t>
  </si>
  <si>
    <t>ГЛАЗКИ. ПЕТУШОК - ЗОЛОТОЙ ГРЕБЕШОК</t>
  </si>
  <si>
    <t>978-5-378-35771-0</t>
  </si>
  <si>
    <t>9785378357710</t>
  </si>
  <si>
    <t>00e0387e3494c8aa1c1692c8cfc68115</t>
  </si>
  <si>
    <t>017307</t>
  </si>
  <si>
    <t>ГЛАЗКИ. ПЕТУШОК-ЗОЛОТОЙ ГРЕБЕШОК (ПЕТУШОК)</t>
  </si>
  <si>
    <t>978-5-378-02634-0</t>
  </si>
  <si>
    <t>9785378026340</t>
  </si>
  <si>
    <t>263122</t>
  </si>
  <si>
    <t>ГЛАЗКИ. ПОТЕШКИ ДЛЯ МАЛЫШЕЙ</t>
  </si>
  <si>
    <t>978-5-378-35787-1</t>
  </si>
  <si>
    <t>9785378357871</t>
  </si>
  <si>
    <t>b557a4e6b44ceabdc17e756b58da9343</t>
  </si>
  <si>
    <t>016888</t>
  </si>
  <si>
    <t>ГЛАЗКИ. СЕРЕНЬКИЙ КОЗЛИК (КОЗЛИК В ШАРФЕ)</t>
  </si>
  <si>
    <t>978-5-378-02581-7</t>
  </si>
  <si>
    <t>9785378025817</t>
  </si>
  <si>
    <t>016889</t>
  </si>
  <si>
    <t>ГЛАЗКИ. СОРОКА-БЕЛОБОКА (СОРОКА С БАНТОМ)</t>
  </si>
  <si>
    <t>978-5-378-02569-5</t>
  </si>
  <si>
    <t>9785378025695</t>
  </si>
  <si>
    <t>20.10.2017 0:00:00</t>
  </si>
  <si>
    <t>017331</t>
  </si>
  <si>
    <t>ГЛАЗКИ. СТРЕКОЗА И МУРАВЕЙ (СТРЕКОЗА)</t>
  </si>
  <si>
    <t>978-5-378-02635-7</t>
  </si>
  <si>
    <t>9785378026357</t>
  </si>
  <si>
    <t>017306</t>
  </si>
  <si>
    <t>ГЛАЗКИ. СЧИТАЕМ БЕЗ ОШИБОК</t>
  </si>
  <si>
    <t>978-5-378-02636-4</t>
  </si>
  <si>
    <t>9785378026364</t>
  </si>
  <si>
    <t>242331</t>
  </si>
  <si>
    <t>ГЛАЗКИ. ТЕХНИКА И ТРАНСПОРТ</t>
  </si>
  <si>
    <t>978-5-378-35274-6</t>
  </si>
  <si>
    <t>9785378352746</t>
  </si>
  <si>
    <t>2988e9a465266664cfb45a9a71fcad4c</t>
  </si>
  <si>
    <t>263121</t>
  </si>
  <si>
    <t>ГЛАЗКИ. ТРИ МЕДВЕДЯ</t>
  </si>
  <si>
    <t>978-5-378-35786-4</t>
  </si>
  <si>
    <t>9785378357864</t>
  </si>
  <si>
    <t>82d9f9d7077e5bee53a0e522d92b5c82</t>
  </si>
  <si>
    <t>017177</t>
  </si>
  <si>
    <t>ГЛАЗКИ. УЧИМ ЦВЕТА</t>
  </si>
  <si>
    <t>978-5-378-02717-0</t>
  </si>
  <si>
    <t>9785378027170</t>
  </si>
  <si>
    <t>Ушкина Наталья Евгеньевна</t>
  </si>
  <si>
    <t>013632</t>
  </si>
  <si>
    <t>ГЛАЗКИ. УЧИМ ЦИФРЫ</t>
  </si>
  <si>
    <t>978-5-378-00334-1</t>
  </si>
  <si>
    <t>9785378003341</t>
  </si>
  <si>
    <t>02.11.2017 0:00:00</t>
  </si>
  <si>
    <t>242332</t>
  </si>
  <si>
    <t>ГЛАЗКИ. УЧИМСЯ СЧИТАТЬ</t>
  </si>
  <si>
    <t>978-5-378-35275-3</t>
  </si>
  <si>
    <t>9785378352753</t>
  </si>
  <si>
    <t>dbb99f445c6097501b17c5ec1e087b58</t>
  </si>
  <si>
    <t>234279</t>
  </si>
  <si>
    <t>ГЛАЗКИ. УЧИМСЯ СЧИТАТЬ (Строителева)</t>
  </si>
  <si>
    <t>978-5-378-34920-3</t>
  </si>
  <si>
    <t>9785378349203</t>
  </si>
  <si>
    <t>ce883801e5ec5bb81a6cc3d498de1785</t>
  </si>
  <si>
    <t>017172</t>
  </si>
  <si>
    <t>ГЛАЗКИ. ФЕДОРИНО ГОРЕ (САМОВАР)</t>
  </si>
  <si>
    <t>978-5-378-02724-8</t>
  </si>
  <si>
    <t>9785378027248</t>
  </si>
  <si>
    <t>242329</t>
  </si>
  <si>
    <t>ГЛАЗКИ. ЦВЕТА И ФОРМЫ</t>
  </si>
  <si>
    <t>978-5-378-35273-9</t>
  </si>
  <si>
    <t>9785378352739</t>
  </si>
  <si>
    <t>89ea72f1d851f070d3bf42c6b5658388</t>
  </si>
  <si>
    <t>249526</t>
  </si>
  <si>
    <t>ГЛАЗКИ. ЧИХУАШКА, КАПИБАРА И ГУСЬ</t>
  </si>
  <si>
    <t>978-5-378-35498-6</t>
  </si>
  <si>
    <t>9785378354986</t>
  </si>
  <si>
    <t>9be3e57aa24130a296861ef0d7aac4e9</t>
  </si>
  <si>
    <t>242328</t>
  </si>
  <si>
    <t>КОШЕЧКИ-СОБАЧКИ. ГЛАЗКИ. ЛУЧШИЕ ДРУЗЬЯ</t>
  </si>
  <si>
    <t>978-5-378-35223-4</t>
  </si>
  <si>
    <t>Новая серия картонных книг с глазками познакомит детей поближе с героями популярных мультфильмов и превратит занятия в увлекательную игру. Знакомые всем детям образы и красочные иллюстрации привлекут внимание крохи, который с удовольствием будет рассматривать картинки, слушать стихи и изучать новое.</t>
  </si>
  <si>
    <t>9785378352234</t>
  </si>
  <si>
    <t>76a33b799221ff965adc012967ea00e3</t>
  </si>
  <si>
    <t>242324</t>
  </si>
  <si>
    <t>МИ-МИ-МИШКИ. ГЛАЗКИ. КЕША И ЕГО ДРУЗЬЯ</t>
  </si>
  <si>
    <t>978-5-378-35225-8</t>
  </si>
  <si>
    <t>9785378352258</t>
  </si>
  <si>
    <t>0deeb11679f351601c1180843ffe6a8a</t>
  </si>
  <si>
    <t>265801</t>
  </si>
  <si>
    <t>СИНИЙ ТРАКТОР. ГЛАЗКИ 15мм. ПЕРВЫЕ СЛОВА</t>
  </si>
  <si>
    <t>978-5-378-35860-1</t>
  </si>
  <si>
    <t>Новая серия картонных книг с глазками познакомит детей поближе с героями популярных мультфильмов и превратит занятия в увлекательную игру. Любимые персонажи и красочные иллюстрации привлекут внимание малыша, который с удовольствием будет рассматривать картинки и изучать что-то новое.</t>
  </si>
  <si>
    <t>9785378358601</t>
  </si>
  <si>
    <t>97f6803f654dea2bea95c9f59e35a0e5</t>
  </si>
  <si>
    <t>242326</t>
  </si>
  <si>
    <t>СИНИЙ ТРАКТОР. ГЛАЗКИ. ПОЛЕЗНЫЕ МАШИНКИ</t>
  </si>
  <si>
    <t>978-5-378-35224-1</t>
  </si>
  <si>
    <t>9785378352241</t>
  </si>
  <si>
    <t>265802</t>
  </si>
  <si>
    <t>ТРИ КОТА. ГЛАЗКИ 15мм. УЧИМСЯ СЧИТАТЬ</t>
  </si>
  <si>
    <t>978-5-378-35861-8</t>
  </si>
  <si>
    <t>9785378358618</t>
  </si>
  <si>
    <t>b4d289771833a0c8534d643974c6a93f</t>
  </si>
  <si>
    <t>265803</t>
  </si>
  <si>
    <t>ТУРБОЗАВРЫ. ГЛАЗКИ 15мм. ФОРМЫ И ЦВЕТА</t>
  </si>
  <si>
    <t>978-5-378-35862-5</t>
  </si>
  <si>
    <t>9785378358625</t>
  </si>
  <si>
    <t>48eae6a96bdde94e36cb7bad0cb31ba5</t>
  </si>
  <si>
    <t>265804</t>
  </si>
  <si>
    <t>ЦВЕТНЯШКИ. ГЛАЗКИ 15мм. УЧИМ ЦВЕТА</t>
  </si>
  <si>
    <t>978-5-378-35863-2</t>
  </si>
  <si>
    <t>9785378358632</t>
  </si>
  <si>
    <t>7cef34ccb6ac430e07ef2c69597f136d</t>
  </si>
  <si>
    <t>СЕРИЯ: КНИЖКИ НА КАРТОНЕ С ГЛАЗКАМИ МИНИ глянц. ламин. обл. 120х150</t>
  </si>
  <si>
    <t>016109</t>
  </si>
  <si>
    <t>ГЛАЗКИ-МИНИ. АЗБУКА (ЗАЙЧИК)</t>
  </si>
  <si>
    <t>978-5-378-02207-6</t>
  </si>
  <si>
    <t>Замечательная серия картонных книг с глазками обязательно порадует вашего малыша. Такая книжка станет любимой игрушкой ребёнка. Страницы сделаны из плотного картона, поэтому издание прослужит долго, не порвётся и не испортится. В книгах серии вы найдёте самые любимые сказки, стихи и потешки.</t>
  </si>
  <si>
    <t>9785378022076</t>
  </si>
  <si>
    <t>120х150х6</t>
  </si>
  <si>
    <t>016307</t>
  </si>
  <si>
    <t>ГЛАЗКИ-МИНИ. БАЮ-БАЮШКИ-БАЮ</t>
  </si>
  <si>
    <t>978-5-378-02272-4</t>
  </si>
  <si>
    <t>9785378022724</t>
  </si>
  <si>
    <t>016308</t>
  </si>
  <si>
    <t>ГЛАЗКИ-МИНИ. БРЕМЕНСКИЕ МУЗЫКАНТЫ (КОТ)</t>
  </si>
  <si>
    <t>978-5-378-02269-4</t>
  </si>
  <si>
    <t>9785378022694</t>
  </si>
  <si>
    <t>017913</t>
  </si>
  <si>
    <t>ГЛАЗКИ-МИНИ. ВЕСЕЛЫЕ ИСТОРИИ ПРО ЗВЕРЯТ</t>
  </si>
  <si>
    <t>978-5-378-03690-5</t>
  </si>
  <si>
    <t>9785378036905</t>
  </si>
  <si>
    <t>016876</t>
  </si>
  <si>
    <t>ГЛАЗКИ-МИНИ. ВСЕ ЗВЕРИ У ДЕЛА</t>
  </si>
  <si>
    <t>978-5-378-02552-7</t>
  </si>
  <si>
    <t>9785378025527</t>
  </si>
  <si>
    <t>016318</t>
  </si>
  <si>
    <t>ГЛАЗКИ-МИНИ. ВЫШЕЛ ЗАЙЧИК ПОГУЛЯТЬ</t>
  </si>
  <si>
    <t>978-5-378-02318-9</t>
  </si>
  <si>
    <t>9785378023189</t>
  </si>
  <si>
    <t>015626</t>
  </si>
  <si>
    <t>ГЛАЗКИ-МИНИ. ГАДКИЙ УТЕНОК</t>
  </si>
  <si>
    <t>978-5-378-01719-5</t>
  </si>
  <si>
    <t>9785378017195</t>
  </si>
  <si>
    <t>016149</t>
  </si>
  <si>
    <t>ГЛАЗКИ-МИНИ. ГДЕ ЖИВУТ ЗВЕРУШКИ</t>
  </si>
  <si>
    <t>978-5-378-02189-5</t>
  </si>
  <si>
    <t>9785378021895</t>
  </si>
  <si>
    <t>016812</t>
  </si>
  <si>
    <t>ГЛАЗКИ-МИНИ. ГУСИ-ЛЕБЕДИ (ГУСЬ В ВЕНОЧКЕ)</t>
  </si>
  <si>
    <t>978-5-378-02502-2</t>
  </si>
  <si>
    <t>9785378025022</t>
  </si>
  <si>
    <t>216936</t>
  </si>
  <si>
    <t>ГЛАЗКИ-МИНИ. ДВА ВЕСЕЛЫХ ГУСЯ (новая)</t>
  </si>
  <si>
    <t>978-5-378-34526-7</t>
  </si>
  <si>
    <t>9785378345267</t>
  </si>
  <si>
    <t>216941</t>
  </si>
  <si>
    <t>ГЛАЗКИ-МИНИ. ДИНОЗАВРЫ</t>
  </si>
  <si>
    <t>978-5-378-34537-3</t>
  </si>
  <si>
    <t>9785378345373</t>
  </si>
  <si>
    <t>0ef1a9fd791fa621fda2a742de50c73e</t>
  </si>
  <si>
    <t>256204</t>
  </si>
  <si>
    <t>ГЛАЗКИ-МИНИ. ЖИЛИ У БАБУСИ...</t>
  </si>
  <si>
    <t>978-5-378-35647-8</t>
  </si>
  <si>
    <t>9785378356478</t>
  </si>
  <si>
    <t>5d0217ce6c67da841d7341161256eb0b</t>
  </si>
  <si>
    <t>123630</t>
  </si>
  <si>
    <t>ГЛАЗКИ-МИНИ. ЗАГАДКИ ДЛЯ МАЛЫШЕЙ</t>
  </si>
  <si>
    <t>978-5-378-29815-0</t>
  </si>
  <si>
    <t>Новые книжки с глазками - это удобный маленький формат, ярки иллюстрации, простые стихи и пластиковые глазки, благодаря которым нарисованные зверята выглядят ещё милее и забавнее.</t>
  </si>
  <si>
    <t>9785378298150</t>
  </si>
  <si>
    <t>016374</t>
  </si>
  <si>
    <t>ГЛАЗКИ-МИНИ. ЗАЮШКИНА ИЗБУШКА (ЗАЙЧИК С ЦВЕТКОМ)</t>
  </si>
  <si>
    <t>978-5-378-02328-8</t>
  </si>
  <si>
    <t>9785378023288</t>
  </si>
  <si>
    <t>016301</t>
  </si>
  <si>
    <t>ГЛАЗКИ-МИНИ. ЗАЯЦ ХВАСТА</t>
  </si>
  <si>
    <t>978-5-378-02267-0</t>
  </si>
  <si>
    <t>9785378022670</t>
  </si>
  <si>
    <t>015007</t>
  </si>
  <si>
    <t>ГЛАЗКИ-МИНИ. ЗООПАРК</t>
  </si>
  <si>
    <t>978-5-378-01328-9</t>
  </si>
  <si>
    <t>9785378013289</t>
  </si>
  <si>
    <t>Мецгер Александр Михайлович</t>
  </si>
  <si>
    <t>015006</t>
  </si>
  <si>
    <t>ГЛАЗКИ-МИНИ. ИДЕТ КОЗА РОГАТАЯ (КОЛОКОЛЬЧИК НА ШЕЕ)</t>
  </si>
  <si>
    <t>978-5-378-01329-6</t>
  </si>
  <si>
    <t>9785378013296</t>
  </si>
  <si>
    <t>015076</t>
  </si>
  <si>
    <t>ГЛАЗКИ-МИНИ. КИСКА МУРКА</t>
  </si>
  <si>
    <t>978-5-378-01424-8</t>
  </si>
  <si>
    <t>9785378014248</t>
  </si>
  <si>
    <t>Ищук Инна Анатольевна</t>
  </si>
  <si>
    <t>264415</t>
  </si>
  <si>
    <t>ГЛАЗКИ-МИНИ. КИСОНЬКА-МУРЫСОНЬКА (новая)</t>
  </si>
  <si>
    <t>978-5-378-35839-7</t>
  </si>
  <si>
    <t>9785378358397</t>
  </si>
  <si>
    <t>ef3c19d4f777715b2099031e739bf3d4</t>
  </si>
  <si>
    <t>265792</t>
  </si>
  <si>
    <t>ГЛАЗКИ-МИНИ. КОЛОБОК (новая)</t>
  </si>
  <si>
    <t>978-5-378-35896-0</t>
  </si>
  <si>
    <t>Яркие картонные книги с подвижными глазками - «Красная Шапочка», «Колобок» и «Серенький козлик» превратят чтение для малыша в настоящее приключение. Весёлые глазки на страницах книги привлекут внимание ребёнка, помогут в развитии зрительного восприятия и мелкой моторики. Чудесные сюжеты классических сказок и русской народной потешки не оставят равнодушными ни одного маленького читателя!</t>
  </si>
  <si>
    <t>9785378358960</t>
  </si>
  <si>
    <t>в обработке Ушинского Константина Дмитриевича</t>
  </si>
  <si>
    <t>27c56863ce46eceec049e98b1031e339</t>
  </si>
  <si>
    <t>016305</t>
  </si>
  <si>
    <t>ГЛАЗКИ-МИНИ. КОЛОБОК (С ЛИСОЙ)</t>
  </si>
  <si>
    <t>978-5-378-02268-7</t>
  </si>
  <si>
    <t>9785378022687</t>
  </si>
  <si>
    <t>016157</t>
  </si>
  <si>
    <t>ГЛАЗКИ-МИНИ. КОЛЫБЕЛЬНАЯ</t>
  </si>
  <si>
    <t>978-5-378-02188-8</t>
  </si>
  <si>
    <t>9785378021888</t>
  </si>
  <si>
    <t>014702</t>
  </si>
  <si>
    <t>ГЛАЗКИ-МИНИ. КОШКИН ДОМ (КОШКА С ВЕДЕРКОМ)</t>
  </si>
  <si>
    <t>978-5-378-01127-8</t>
  </si>
  <si>
    <t>9785378011278</t>
  </si>
  <si>
    <t>016523</t>
  </si>
  <si>
    <t>ГЛАЗКИ-МИНИ. КРАСНАЯ ШАПОЧКА (ВОЛК В ФИОЛЕТ. КЕПКЕ)</t>
  </si>
  <si>
    <t>978-5-378-02380-6</t>
  </si>
  <si>
    <t>9785378023806</t>
  </si>
  <si>
    <t>265793</t>
  </si>
  <si>
    <t>ГЛАЗКИ-МИНИ. КРАСНАЯ ШАПОЧКА (новая)</t>
  </si>
  <si>
    <t>978-5-378-35895-3</t>
  </si>
  <si>
    <t>9785378358953</t>
  </si>
  <si>
    <t>4ce0215fb85d71db586c1afb4ce730ea</t>
  </si>
  <si>
    <t>216937</t>
  </si>
  <si>
    <t>ГЛАЗКИ-МИНИ. КУРОЧКА РЯБА (новая)</t>
  </si>
  <si>
    <t>978-5-378-34527-4</t>
  </si>
  <si>
    <t>9785378345274</t>
  </si>
  <si>
    <t>014867</t>
  </si>
  <si>
    <t>ГЛАЗКИ-МИНИ. ЛАДУШКИ-ЛАДУШКИ (КОШКА)</t>
  </si>
  <si>
    <t>978-5-378-01257-2</t>
  </si>
  <si>
    <t>9785378012572</t>
  </si>
  <si>
    <t>Лясковский Виктор Леонидович</t>
  </si>
  <si>
    <t>015816</t>
  </si>
  <si>
    <t>ГЛАЗКИ-МИНИ. ЛИСИЧКА СО СКАЛОЧКОЙ</t>
  </si>
  <si>
    <t>978-5-378-01738-6</t>
  </si>
  <si>
    <t>9785378017386</t>
  </si>
  <si>
    <t>095416</t>
  </si>
  <si>
    <t>ГЛАЗКИ-МИНИ. МОИ ПИТОМЦЫ</t>
  </si>
  <si>
    <t>978-5-378-28905-9</t>
  </si>
  <si>
    <t>9785378289059</t>
  </si>
  <si>
    <t>267382</t>
  </si>
  <si>
    <t>ГЛАЗКИ-МИНИ. ПРО МАШИНКИ</t>
  </si>
  <si>
    <t>978-5-378-35930-1</t>
  </si>
  <si>
    <t>9785378359301</t>
  </si>
  <si>
    <t>152659c6b27f6316f6a2eaebda6258c7</t>
  </si>
  <si>
    <t>264416</t>
  </si>
  <si>
    <t>ГЛАЗКИ-МИНИ. СЕРЕНЬКИЙ КОЗЛИК (новая)</t>
  </si>
  <si>
    <t>978-5-378-35840-3</t>
  </si>
  <si>
    <t>9785378358403</t>
  </si>
  <si>
    <t>d9926dae60b3660ab61161eb004f52a0</t>
  </si>
  <si>
    <t>015077</t>
  </si>
  <si>
    <t>ГЛАЗКИ-МИНИ. СКОРОГОВОРКИ МАЛЫШАМ</t>
  </si>
  <si>
    <t>978-5-378-01456-9</t>
  </si>
  <si>
    <t>9785378014569</t>
  </si>
  <si>
    <t>014780</t>
  </si>
  <si>
    <t>ГЛАЗКИ-МИНИ. СОРОКА-БЕЛОБОКА</t>
  </si>
  <si>
    <t>978-5-378-01145-2</t>
  </si>
  <si>
    <t>9785378011452</t>
  </si>
  <si>
    <t>256207</t>
  </si>
  <si>
    <t>978-5-378-35650-8</t>
  </si>
  <si>
    <t>9785378356508</t>
  </si>
  <si>
    <t>86dc56bb2e150a3b5b2844583226ded6</t>
  </si>
  <si>
    <t>016262</t>
  </si>
  <si>
    <t>ГЛАЗКИ-МИНИ. СПИ, МОЯ РАДОСТЬ, УСНИ</t>
  </si>
  <si>
    <t>978-5-378-02266-3</t>
  </si>
  <si>
    <t>9785378022663</t>
  </si>
  <si>
    <t>Свириденко София Александровна</t>
  </si>
  <si>
    <t>267383</t>
  </si>
  <si>
    <t>ГЛАЗКИ-МИНИ. СПИ, МОЯ РАДОСТЬ, УСНИ (новая)</t>
  </si>
  <si>
    <t>978-5-378-35939-4</t>
  </si>
  <si>
    <t>9785378359394</t>
  </si>
  <si>
    <t>0f3daa981bfd62b3694fd16ae77fe6e0</t>
  </si>
  <si>
    <t>016267</t>
  </si>
  <si>
    <t>ГЛАЗКИ-МИНИ. ТЕНЬ-ТЕНЬ ПОТЕТЕНЬ</t>
  </si>
  <si>
    <t>978-5-378-02278-6</t>
  </si>
  <si>
    <t>9785378022786</t>
  </si>
  <si>
    <t>0195f38ade496bc5f30dc9f18cf2c966</t>
  </si>
  <si>
    <t>014779</t>
  </si>
  <si>
    <t>ГЛАЗКИ-МИНИ. ТЕРЕМОК (МЕДВЕДЬ)</t>
  </si>
  <si>
    <t>978-5-378-01142-1</t>
  </si>
  <si>
    <t>9785378011421</t>
  </si>
  <si>
    <t>015075</t>
  </si>
  <si>
    <t>ГЛАЗКИ-МИНИ. ТОП-ТОП-ТОПОТУШКИ (ЩЕНОК)</t>
  </si>
  <si>
    <t>978-5-378-01459-0</t>
  </si>
  <si>
    <t>9785378014590</t>
  </si>
  <si>
    <t>016782</t>
  </si>
  <si>
    <t>ГЛАЗКИ-МИНИ. ТРИ МЕДВЕДЯ (МИШКА В СИНИХ ШТАНИШКАХ)</t>
  </si>
  <si>
    <t>978-5-378-02496-4</t>
  </si>
  <si>
    <t>9785378024964</t>
  </si>
  <si>
    <t>267380</t>
  </si>
  <si>
    <t>ГЛАЗКИ-МИНИ. УЧИМСЯ ГОВОРИТЬ (новая)</t>
  </si>
  <si>
    <t>978-5-378-35929-5</t>
  </si>
  <si>
    <t>9785378359295</t>
  </si>
  <si>
    <t>a9b94332f9a87080b8ec996de5d30680</t>
  </si>
  <si>
    <t>СЕРИЯ: ЦК С ГЛАЗКАМИ 35 мм "ЭМОЦИИ" глянц.ламин 160х220</t>
  </si>
  <si>
    <t>233231</t>
  </si>
  <si>
    <t>ЦК С ГЛАЗКАМИ 35 мм ЭМОЦИИ. КАК КОТЁНОК ПОДЕЛИЛСЯ РАДОСТЬЮ</t>
  </si>
  <si>
    <t>978-5-378-34887-9</t>
  </si>
  <si>
    <t>Развивающая серия книг на плотном картоне позволит в лёгкой форме познакомить самых маленьких слушателей с эмоциями и их проявлением. Дети будут проживать вместе с друзьями-зверятами радость, грусть, злость, страх и учиться справляться с ними. Большие добрые глазки героев книг привлекут внимание девочек и мальчиков и будут удерживать его до конца истории.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</si>
  <si>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9785378348879</t>
  </si>
  <si>
    <t>6ed3304e6d09798322f5472ec8942b25</t>
  </si>
  <si>
    <t>162x219x4</t>
  </si>
  <si>
    <t>233232</t>
  </si>
  <si>
    <t>ЦК С ГЛАЗКАМИ 35 мм ЭМОЦИИ. КАК МЫШОНОК ПОБЕДИЛ СТРАХ</t>
  </si>
  <si>
    <t>978-5-378-34888-6</t>
  </si>
  <si>
    <t>9785378348886</t>
  </si>
  <si>
    <t>9f776a374d6be65edca02fe1ea0a351c</t>
  </si>
  <si>
    <t>233233</t>
  </si>
  <si>
    <t>ЦК С ГЛАЗКАМИ 35 мм ЭМОЦИИ. КАК СЛОНЁНОК ПРОГНАЛ ГРУСТЬ</t>
  </si>
  <si>
    <t>978-5-378-34889-3</t>
  </si>
  <si>
    <t>9785378348893</t>
  </si>
  <si>
    <t>f89a0442dfcc47ec00b852ed7596c6c0</t>
  </si>
  <si>
    <t>233234</t>
  </si>
  <si>
    <t>ЦК С ГЛАЗКАМИ 35 мм ЭМОЦИИ. КАК ТИГРЁНОК ОДОЛЕЛ ЗЛОСТЬ</t>
  </si>
  <si>
    <t>978-5-378-34890-9</t>
  </si>
  <si>
    <t>9785378348909</t>
  </si>
  <si>
    <t>ca2251c9dadc31dafd072cd83a4186c2</t>
  </si>
  <si>
    <t>КНИЖКИ НА КАРТОНЕ ЦК</t>
  </si>
  <si>
    <t>CЕРИЯ: КНИЖКИ НА КАРТОНЕ на гребне ВЕСЁЛЫЕ ПАЛЬЧИКИ 155х155</t>
  </si>
  <si>
    <t>265810</t>
  </si>
  <si>
    <t>КНИЖКИ НА КАРТОНЕ на гребне ВЕСЁЛЫЕ ПАЛЬЧИКИ. Домашние животные</t>
  </si>
  <si>
    <t>978-5-378-35897-7</t>
  </si>
  <si>
    <t>В удивительных книжках серии «Весёлые пальчики» вы найдёте не только забавные стихи, но и увлекательную игру! Благодаря отверстиям для пальчиков нарисованные зверята смогут пошевелить лапками, а птички помахать крылышками. Развивайте фантазию, мелкую моторику и весело играйте вместе с малышом!</t>
  </si>
  <si>
    <t>9785378358977</t>
  </si>
  <si>
    <t>Гурина Ирина Валерьевна,Брагинец Наталья Владимировна,Купырина Анна Михайловна</t>
  </si>
  <si>
    <t>160х154х10</t>
  </si>
  <si>
    <t>265818</t>
  </si>
  <si>
    <t>КНИЖКИ НА КАРТОНЕ на гребне ВЕСЁЛЫЕ ПАЛЬЧИКИ. Кто живёт в лесу</t>
  </si>
  <si>
    <t>978-5-378-35898-4</t>
  </si>
  <si>
    <t>9785378358984</t>
  </si>
  <si>
    <t>265820</t>
  </si>
  <si>
    <t>КНИЖКИ НА КАРТОНЕ на гребне ВЕСЁЛЫЕ ПАЛЬЧИКИ. Любимые потешки</t>
  </si>
  <si>
    <t>978-5-378-35900-4</t>
  </si>
  <si>
    <t>9785378359004</t>
  </si>
  <si>
    <t>265819</t>
  </si>
  <si>
    <t>КНИЖКИ НА КАРТОНЕ на гребне ВЕСЁЛЫЕ ПАЛЬЧИКИ. Малыши - зверята</t>
  </si>
  <si>
    <t>978-5-378-35899-1</t>
  </si>
  <si>
    <t>9785378358991</t>
  </si>
  <si>
    <t>Брагинец Наталья Владимировна, Купырина Анна Михайловна</t>
  </si>
  <si>
    <t>CЕРИЯ: КНИЖКИ НА КАРТОНЕ ЦЕЛЬНОКРЫТЫЕ глянц.ламинация 160х220</t>
  </si>
  <si>
    <t>156440</t>
  </si>
  <si>
    <t>КОШЕЧКИ-СОБАЧКИ. ЦК. СЧЁТ</t>
  </si>
  <si>
    <t>978-5-378-31334-1</t>
  </si>
  <si>
    <t>С любимыми героями мультсериала "Кошечки-собачки" запоминать цвета и цифры и учиться считать до 10 малышу точно будет интересно!</t>
  </si>
  <si>
    <t>9785378313341</t>
  </si>
  <si>
    <t>d53c1c5f92f7f872cb524fdc62680bb0</t>
  </si>
  <si>
    <t>156441</t>
  </si>
  <si>
    <t>КОШЕЧКИ-СОБАЧКИ. ЦК. ЦВЕТА</t>
  </si>
  <si>
    <t>978-5-378-31335-8</t>
  </si>
  <si>
    <t>9785378313358</t>
  </si>
  <si>
    <t>270081</t>
  </si>
  <si>
    <t>МАСТЕР ВИТЯ И МОТОР. ЦК. ВЕРНЫЕ ДРУЗЬЯ</t>
  </si>
  <si>
    <t>978-5-378-35998-1</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</si>
  <si>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формате 160х220 мм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</si>
  <si>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9785378359981</t>
  </si>
  <si>
    <t>Книги на картоне (цельнокрытые)</t>
  </si>
  <si>
    <t>244634</t>
  </si>
  <si>
    <t xml:space="preserve">СИНИЙ ТРАКТОР. ЦК. ГОРШОК </t>
  </si>
  <si>
    <t>978-5-378-35370-5</t>
  </si>
  <si>
    <t>9785378353705</t>
  </si>
  <si>
    <t>8051f2e2044be4840fefbee5c7cb597e</t>
  </si>
  <si>
    <t>127941</t>
  </si>
  <si>
    <t>СИНИЙ ТРАКТОР. ЦК. ДАЛЕКО И БЛИЗКО</t>
  </si>
  <si>
    <t>978-5-378-30040-2</t>
  </si>
  <si>
    <t>Встречайте Синий трактор и его друзей на страницах ярких книжек! Весёлые стишки и красочные развороты, а также вопросы-задания сделают чтение не только интересным, но и полезным!</t>
  </si>
  <si>
    <t>9785378300402</t>
  </si>
  <si>
    <t>127942</t>
  </si>
  <si>
    <t>СИНИЙ ТРАКТОР. ЦК. ДЕНЬ И НОЧЬ</t>
  </si>
  <si>
    <t>978-5-378-30041-9</t>
  </si>
  <si>
    <t>9785378300419</t>
  </si>
  <si>
    <t>240157</t>
  </si>
  <si>
    <t>СИНИЙ ТРАКТОР. ЦК. КТО КАК ГОВОРИТ?</t>
  </si>
  <si>
    <t>978-5-378-35220-3</t>
  </si>
  <si>
    <t>Яркие красочные книжки из плотного картона обязательно заинтересуют малышей. Забавная капибара научит их считать до 10, Синий Трактор расскажет, как говорят разные животные, а милые детские истории в стихах про любимых героев Вселенной «Проф-Пресс» увлекут маленьких слушателей и помогут настроиться на спокойные игры или сон.</t>
  </si>
  <si>
    <t>9785378352203</t>
  </si>
  <si>
    <t>Брагинец Наталья Владимировна,Гурина Ирина Валерьевна,Купырина Анна Михайловна</t>
  </si>
  <si>
    <t>258321</t>
  </si>
  <si>
    <t>СИНИЙ ТРАКТОР. ЦК. НАСЕКОМЫЕ</t>
  </si>
  <si>
    <t>978-5-378-35618-8</t>
  </si>
  <si>
    <t>Забавные песенки Синего Трактора про самых разных насекомых и яркие красочные иллюстрации обязательно заинтересуют маленьких слушателей. Читайте и подпевайте вместе с любимыми героями!</t>
  </si>
  <si>
    <t>9785378356188</t>
  </si>
  <si>
    <t>01f0e251f504d4165d2b62706339acc2</t>
  </si>
  <si>
    <t>069370</t>
  </si>
  <si>
    <t>ТРИ КОТА. ЦК. АЗБУКА</t>
  </si>
  <si>
    <t>978-5-378-27510-6</t>
  </si>
  <si>
    <t>Обучающие книги в стихах с любимыми героями мультфильма "Три кота" познакомят малышей с алфавитом, расскажут о временах года, профессиях и хороших манерах. Развиваться с весёлыми котятами Коржиком, Карамелькой и Компотом-это Здорово! Миу-миу-миу!</t>
  </si>
  <si>
    <t>9785378275106</t>
  </si>
  <si>
    <t>069372</t>
  </si>
  <si>
    <t>ТРИ КОТА. ЦК. ПРОФЕССИИ</t>
  </si>
  <si>
    <t>978-5-378-27511-3</t>
  </si>
  <si>
    <t>9785378275113</t>
  </si>
  <si>
    <t>245122</t>
  </si>
  <si>
    <t>ТУРБОЗАВРЫ. ЦК. АЗБУКА</t>
  </si>
  <si>
    <t>978-5-378-35354-5</t>
  </si>
  <si>
    <t>Представляем новинки - красочные картонные книжки с любимыми героями мультсериала "Туробозавры".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</si>
  <si>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9785378353545</t>
  </si>
  <si>
    <t>3cb791ed728b5a6bfff0b31e50a670dc</t>
  </si>
  <si>
    <t>248065</t>
  </si>
  <si>
    <t>ТУРБОЗАВРЫ. ЦК. ТУРБОЗАВРЫ И ДРУЗЬЯ</t>
  </si>
  <si>
    <t>978-5-378-35418-4</t>
  </si>
  <si>
    <t>9785378354184</t>
  </si>
  <si>
    <t>Брагинец Наталья Владимирована</t>
  </si>
  <si>
    <t>d5a99902daff30c398cdf5f9469c390d</t>
  </si>
  <si>
    <t>256210</t>
  </si>
  <si>
    <t>ЦВЕТНЯШКИ. ЦК. АЗБУКА</t>
  </si>
  <si>
    <t>978-5-378-35611-9</t>
  </si>
  <si>
    <t>Представляем новинки - красочные картонные книжки с любимыми героями мультсериала "Цветняшки".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</si>
  <si>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9785378356119</t>
  </si>
  <si>
    <t>805316411b3f4e97d54ac5b2da318247</t>
  </si>
  <si>
    <t>256211</t>
  </si>
  <si>
    <t>ЦВЕТНЯШКИ. ЦК. ЗНАКОМСТВО С ГЕРОЯМИ</t>
  </si>
  <si>
    <t>978-5-378-35612-6</t>
  </si>
  <si>
    <t>9785378356126</t>
  </si>
  <si>
    <t>5ae541f19e73a8810657a5d92e373e48</t>
  </si>
  <si>
    <t>080428</t>
  </si>
  <si>
    <t>ЦК 4 разворота. АЗБУКА С ЖИВОТНЫМИ</t>
  </si>
  <si>
    <t>978-5-378-28430-6</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</si>
  <si>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</si>
  <si>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9785378284306</t>
  </si>
  <si>
    <t>3b7203e284e7498d27bb175306294f30</t>
  </si>
  <si>
    <t>160x220x5</t>
  </si>
  <si>
    <t>078704</t>
  </si>
  <si>
    <t>ЦК 4 разворота. АЗБУКА. УЧИМ БУКВЫ</t>
  </si>
  <si>
    <t>978-5-378-28156-5</t>
  </si>
  <si>
    <t>9785378281565</t>
  </si>
  <si>
    <t>21.02.2018 0:00:00</t>
  </si>
  <si>
    <t>085923</t>
  </si>
  <si>
    <t>ЦК 4 разворота. АЗБУКА. УЧИМ БУКВЫ С КРОШКАМИ ПОНИ</t>
  </si>
  <si>
    <t>978-5-378-28664-5</t>
  </si>
  <si>
    <t>С обучающими книгами на картоне малыши быстро выучат буквы и цифры в лёгкой игровой форме. Яркие крупные иллюстрации обязательно понравятся маленьким читателям, а весёлые задания помогут им закрепить полученные знания.</t>
  </si>
  <si>
    <t>9785378286645</t>
  </si>
  <si>
    <t>19.06.2018 0:00:00</t>
  </si>
  <si>
    <t>080429</t>
  </si>
  <si>
    <t>ЦК 4 разворота. БРЕМЕНСКИЕ МУЗЫКАНТЫ. СКАЗКА В СТИХАХ</t>
  </si>
  <si>
    <t>978-5-378-28429-0</t>
  </si>
  <si>
    <t>9785378284290</t>
  </si>
  <si>
    <t>1bac103c226c6a7dd748bf3b39599017</t>
  </si>
  <si>
    <t>080431</t>
  </si>
  <si>
    <t>ЦК 4 разворота. ВОЛШЕБНЫЕ СЛОВА</t>
  </si>
  <si>
    <t>978-5-378-28431-3</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</si>
  <si>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</si>
  <si>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9785378284313</t>
  </si>
  <si>
    <t>a2b1ed3bbea3824884b703f227252aa0</t>
  </si>
  <si>
    <t>078708</t>
  </si>
  <si>
    <t>ЦК 4 разворота. ВРЕМЕНА ГОДА</t>
  </si>
  <si>
    <t>978-5-378-28162-6</t>
  </si>
  <si>
    <t>9785378281626</t>
  </si>
  <si>
    <t>27.02.2018 0:00:00</t>
  </si>
  <si>
    <t>087048</t>
  </si>
  <si>
    <t>ЦК 4 разворота. ИЗ ЧЕГО ЭТО СДЕЛАНО?</t>
  </si>
  <si>
    <t>978-5-378-28668-3</t>
  </si>
  <si>
    <t>Обучающие книги на картоне познакомят малышей с алфавитом, цифрами, формами и цветами. Яркие забавные картинки и несложные задания помогут весело провести время и легко усвоить новую информацию!</t>
  </si>
  <si>
    <t>9785378286683</t>
  </si>
  <si>
    <t>d5b5189d66cae2ef5281a9b7219cc70f</t>
  </si>
  <si>
    <t>080432</t>
  </si>
  <si>
    <t>ЦК 4 разворота. КРАСНАЯ ШАПОЧКА</t>
  </si>
  <si>
    <t>978-5-378-28432-0</t>
  </si>
  <si>
    <t>9785378284320</t>
  </si>
  <si>
    <t>080433</t>
  </si>
  <si>
    <t>ЦК 4 разворота. МАШЕНЬКА И МЕДВЕДЬ</t>
  </si>
  <si>
    <t>978-5-378-28433-7</t>
  </si>
  <si>
    <t>9785378284337</t>
  </si>
  <si>
    <t>5d76f4fb7cef41e30945bcd7c38af47d</t>
  </si>
  <si>
    <t>078706</t>
  </si>
  <si>
    <t>ЦК 4 разворота. МОИ ПЕРВЫЕ ПОТЕШКИ</t>
  </si>
  <si>
    <t>978-5-378-28153-4</t>
  </si>
  <si>
    <t>9785378281534</t>
  </si>
  <si>
    <t>080434</t>
  </si>
  <si>
    <t>ЦК 4 разворота. ПОТЕШКИ МАЛЫШАМ</t>
  </si>
  <si>
    <t>978-5-378-28434-4</t>
  </si>
  <si>
    <t>9785378284344</t>
  </si>
  <si>
    <t>c35cf15fb64557cc7703a1cb8a03a361</t>
  </si>
  <si>
    <t>078710</t>
  </si>
  <si>
    <t>ЦК 4 разворота. ПРО МАШИНКИ И НЕ ТОЛЬКО...ТРАНСПОРТ</t>
  </si>
  <si>
    <t>978-5-378-28158-9</t>
  </si>
  <si>
    <t>9785378281589</t>
  </si>
  <si>
    <t>1586196903f5f2a56fdbcb8e95dbe495</t>
  </si>
  <si>
    <t>080435</t>
  </si>
  <si>
    <t>ЦК 4 разворота. РЕПКА. СКАЗКА В СТИХАХ</t>
  </si>
  <si>
    <t>978-5-378-28435-1</t>
  </si>
  <si>
    <t>9785378284351</t>
  </si>
  <si>
    <t>078705</t>
  </si>
  <si>
    <t>ЦК 4 разворота. С ДОБРЫМ УТРОМ, МАЛЫШИ</t>
  </si>
  <si>
    <t>978-5-378-28154-1</t>
  </si>
  <si>
    <t>9785378281541</t>
  </si>
  <si>
    <t>080436</t>
  </si>
  <si>
    <t>ЦК 4 разворота. СОРОКА-БЕЛОБОКА</t>
  </si>
  <si>
    <t>978-5-378-28436-8</t>
  </si>
  <si>
    <t>9785378284368</t>
  </si>
  <si>
    <t>078709</t>
  </si>
  <si>
    <t>ЦК 4 разворота. СЧЁТ. УЧИМ ЦИФРЫ</t>
  </si>
  <si>
    <t>978-5-378-28157-2</t>
  </si>
  <si>
    <t>9785378281572</t>
  </si>
  <si>
    <t>085922</t>
  </si>
  <si>
    <t>ЦК 4 разворота. УЧИМ ФОРМЫ</t>
  </si>
  <si>
    <t>978-5-378-28667-6</t>
  </si>
  <si>
    <t>9785378286676</t>
  </si>
  <si>
    <t>305e632893d15adc6229aade26a0aaba</t>
  </si>
  <si>
    <t>078711</t>
  </si>
  <si>
    <t>ЦК 4 разворота. УЧИМ ЦВЕТА</t>
  </si>
  <si>
    <t>978-5-378-28120-6</t>
  </si>
  <si>
    <t>9785378281206</t>
  </si>
  <si>
    <t>e3d521bed60b9cf582fd903d2cab3735</t>
  </si>
  <si>
    <t>041270</t>
  </si>
  <si>
    <t>ЦК. АЗБУКА В ЗАГАДКАХ</t>
  </si>
  <si>
    <t>978-5-378-26217-5</t>
  </si>
  <si>
    <t>9785378262175</t>
  </si>
  <si>
    <t>Майер Наталья Андреевна</t>
  </si>
  <si>
    <t>248053</t>
  </si>
  <si>
    <t>ЦК. АЗБУКА по произведениям К.Чуковского</t>
  </si>
  <si>
    <t>978-5-378-35439-9</t>
  </si>
  <si>
    <t>9785378354399</t>
  </si>
  <si>
    <t>d0080ab9129315306f7e38ecfdc38541</t>
  </si>
  <si>
    <t>240148</t>
  </si>
  <si>
    <t>ЦК. АКУЛА МИЛА НАХОДИТ ДРУЗЕЙ</t>
  </si>
  <si>
    <t>978-5-378-35213-5</t>
  </si>
  <si>
    <t>9785378352135</t>
  </si>
  <si>
    <t>015054</t>
  </si>
  <si>
    <t>ЦК. БАРМАЛЕЙ</t>
  </si>
  <si>
    <t>978-5-378-01372-2</t>
  </si>
  <si>
    <t>9785378013722</t>
  </si>
  <si>
    <t>152891</t>
  </si>
  <si>
    <t>ЦК. БЕЛОСНЕЖКА</t>
  </si>
  <si>
    <t>978-5-378-31054-8</t>
  </si>
  <si>
    <t>9785378310548</t>
  </si>
  <si>
    <t>144084</t>
  </si>
  <si>
    <t>ЦК. БРЕМЕНСКИЕ МУЗЫКАНТЫ (новая)</t>
  </si>
  <si>
    <t>978-5-378-30788-3</t>
  </si>
  <si>
    <t>9785378307883</t>
  </si>
  <si>
    <t>044856</t>
  </si>
  <si>
    <t>ЦК. БРЕМЕНСКИЕ УЛИЧНЫЕ МУЗЫКАНТЫ</t>
  </si>
  <si>
    <t>978-5-378-26422-3</t>
  </si>
  <si>
    <t>9785378264223</t>
  </si>
  <si>
    <t>152896</t>
  </si>
  <si>
    <t>ЦК. ВОЛК И СЕМЕРО КОЗЛЯТ (новая)</t>
  </si>
  <si>
    <t>978-5-378-31084-5</t>
  </si>
  <si>
    <t>Книги данной серии предназначены для самых маленьких слушателей. Любимые сказки не оставят равнодушным ни одного малыша. А вернуться к просмотру ярких, красочных иллюстраций деткам обязательно будет хотеться снова и снова.</t>
  </si>
  <si>
    <t>9785378310845</t>
  </si>
  <si>
    <t>238139</t>
  </si>
  <si>
    <t>ЦК. ВОЛЧОНОК УЧИТСЯ СРАВНИВАТЬ</t>
  </si>
  <si>
    <t>978-5-378-35117-6</t>
  </si>
  <si>
    <t>Развивающая серия книг на плотном картоне позволит в лёгкой форме познакомить самых маленьких слушателей с цветами, счётом, геометрическими фигурами и противоположностями.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</si>
  <si>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9785378351176</t>
  </si>
  <si>
    <t>897d8c5bfb35599f29aed1ff205f9a20</t>
  </si>
  <si>
    <t>144083</t>
  </si>
  <si>
    <t>ЦК. ГАДКИЙ УТЕНОК (новая)</t>
  </si>
  <si>
    <t>978-5-378-30781-4</t>
  </si>
  <si>
    <t>9785378307814</t>
  </si>
  <si>
    <t>147084</t>
  </si>
  <si>
    <t>ЦК. ГУСИ-ЛЕБЕДИ (Новая)</t>
  </si>
  <si>
    <t>978-5-378-30913-9</t>
  </si>
  <si>
    <t>9785378309139</t>
  </si>
  <si>
    <t>125b16ed56c8cfca8642fa91e4eb2f78</t>
  </si>
  <si>
    <t>213676</t>
  </si>
  <si>
    <t>ЦК. ДВА ВЕСЁЛЫХ ГУСЯ (новая)</t>
  </si>
  <si>
    <t>978-5-378-34462-8</t>
  </si>
  <si>
    <t>9785378344628</t>
  </si>
  <si>
    <t>240152</t>
  </si>
  <si>
    <t>ЦК. ДИНОЗАВРИК В ДЕТСКОМ САДУ</t>
  </si>
  <si>
    <t>978-5-378-35216-6</t>
  </si>
  <si>
    <t>9785378352166</t>
  </si>
  <si>
    <t>152894</t>
  </si>
  <si>
    <t>ЦК. ДЮЙМОВОЧКА (новая)</t>
  </si>
  <si>
    <t>978-5-378-31035-7</t>
  </si>
  <si>
    <t>9785378310357</t>
  </si>
  <si>
    <t>238140</t>
  </si>
  <si>
    <t>ЦК. ЗАЙЧОНОК УЧИТСЯ СЧИТАТЬ</t>
  </si>
  <si>
    <t>978-5-378-35118-3</t>
  </si>
  <si>
    <t>9785378351183</t>
  </si>
  <si>
    <t>7e1655356072f78f92ccd1bc9ced736d</t>
  </si>
  <si>
    <t>156866</t>
  </si>
  <si>
    <t>ЦК. ЗАЮШКИНА ИЗБУШКА (новая)</t>
  </si>
  <si>
    <t>978-5-378-31351-8</t>
  </si>
  <si>
    <t>9785378313518</t>
  </si>
  <si>
    <t>156847</t>
  </si>
  <si>
    <t>ЦК. ЗИМОВЬЕ ЗВЕРЕЙ (новая)</t>
  </si>
  <si>
    <t>978-5-378-31350-1</t>
  </si>
  <si>
    <t>9785378313501</t>
  </si>
  <si>
    <t>156865</t>
  </si>
  <si>
    <t>ЦК. ЗОЛУШКА (в голубом платье)</t>
  </si>
  <si>
    <t>978-5-378-31325-9</t>
  </si>
  <si>
    <t>9785378313259</t>
  </si>
  <si>
    <t>159039</t>
  </si>
  <si>
    <t>ЦК. ИСТОРИЯ ПРО БУРАТИНО</t>
  </si>
  <si>
    <t>978-5-378-31535-2</t>
  </si>
  <si>
    <t>Представляем вашему вниманию новинки: историю про любимого Буратино, адаптированную для малышей и классическую сказку Шарля Перро "Спящая красавица". Книги имеют удобный формат, много рисунков, приятное динамичное повествование! На красочных страницах истории про Буратино оживают добряк папа Карло, озорной мальчишка Буратино, хитрая воровка лиса Алиса и другие знакомые персонажи. А спящая красавица порадует сказочными иллюстрациями.</t>
  </si>
  <si>
    <t>9785378315352</t>
  </si>
  <si>
    <t>213670</t>
  </si>
  <si>
    <t>ЦК. К.Чуковский. АЙБОЛИТ</t>
  </si>
  <si>
    <t>978-5-378-34456-7</t>
  </si>
  <si>
    <t>Эти замечательные книги предназначены для самых юных слушателей. Они познакомят малышей с Айболитом, Мойдодыром, Бармалеем, Мухой-Цокотухой и другими персонажами Корнея Чуковского. Каждую сказочную историю сопровождают  красочные иллюстрации. Они обязательно подарят детям хорошее настроение и массу положительными эмоций.</t>
  </si>
  <si>
    <t>9785378344567</t>
  </si>
  <si>
    <t>213672</t>
  </si>
  <si>
    <t>ЦК. К.Чуковский. БАРМАЛЕЙ</t>
  </si>
  <si>
    <t>978-5-378-34457-4</t>
  </si>
  <si>
    <t>9785378344574</t>
  </si>
  <si>
    <t>213673</t>
  </si>
  <si>
    <t>ЦК. К.Чуковский. МОЙДОДЫР</t>
  </si>
  <si>
    <t>978-5-378-34458-1</t>
  </si>
  <si>
    <t>9785378344581</t>
  </si>
  <si>
    <t>213674</t>
  </si>
  <si>
    <t>ЦК. К.Чуковский. МУХА-ЦОКОТУХА</t>
  </si>
  <si>
    <t>978-5-378-34459-8</t>
  </si>
  <si>
    <t>9785378344598</t>
  </si>
  <si>
    <t>222374</t>
  </si>
  <si>
    <t>ЦК. К.Чуковский. ПУТАНИЦА</t>
  </si>
  <si>
    <t>978-5-378-34626-4</t>
  </si>
  <si>
    <t>9785378346264</t>
  </si>
  <si>
    <t>213671</t>
  </si>
  <si>
    <t>ЦК. К.Чуковский. ТАРАКАНИЩЕ</t>
  </si>
  <si>
    <t>978-5-378-34460-4</t>
  </si>
  <si>
    <t>9785378344604</t>
  </si>
  <si>
    <t>213675</t>
  </si>
  <si>
    <t>ЦК. К.Чуковский. ТЕЛЕФОН</t>
  </si>
  <si>
    <t>978-5-378-34461-1</t>
  </si>
  <si>
    <t>9785378344611</t>
  </si>
  <si>
    <t>213669</t>
  </si>
  <si>
    <t>ЦК. К.Чуковский. ФЕДОРИНО ГОРЕ</t>
  </si>
  <si>
    <t>978-5-378-34455-0</t>
  </si>
  <si>
    <t>9785378344550</t>
  </si>
  <si>
    <t>244625</t>
  </si>
  <si>
    <t>ЦК. КАК КОТЕНОК ПОДЕЛИЛСЯ РАДОСТЬЮ</t>
  </si>
  <si>
    <t>978-5-378-35372-9</t>
  </si>
  <si>
    <t>9785378353729</t>
  </si>
  <si>
    <t>5950c3a338817cf9406c8435395fe58b</t>
  </si>
  <si>
    <t>244624</t>
  </si>
  <si>
    <t xml:space="preserve">ЦК. КАК МЫШОНОК ПОБЕДИЛ СТРАХ </t>
  </si>
  <si>
    <t>978-5-378-35371-2</t>
  </si>
  <si>
    <t>9785378353712</t>
  </si>
  <si>
    <t>2b6ad0227f8cac6f2fd83a1ec12d8c38</t>
  </si>
  <si>
    <t>135445</t>
  </si>
  <si>
    <t>ЦК. КОЛОБОК</t>
  </si>
  <si>
    <t>978-5-378-30464-6</t>
  </si>
  <si>
    <t>9785378304646</t>
  </si>
  <si>
    <t>135446</t>
  </si>
  <si>
    <t>ЦК. КОТ В САПОГАХ (новая)</t>
  </si>
  <si>
    <t>978-5-378-30465-3</t>
  </si>
  <si>
    <t>9785378304653</t>
  </si>
  <si>
    <t>240153</t>
  </si>
  <si>
    <t>ЦК. КОТЁНОК ПУХ, Я ТЕБЯ ЛЮБЛЮ!</t>
  </si>
  <si>
    <t>978-5-378-35217-3</t>
  </si>
  <si>
    <t>9785378352173</t>
  </si>
  <si>
    <t>241755</t>
  </si>
  <si>
    <t>ЦК. КОТЁНОК ТИМ В ДЕРЕВНЕ</t>
  </si>
  <si>
    <t>978-5-378-35233-3</t>
  </si>
  <si>
    <t>Книжка-картонка про котёнка Тима познакомит малыша с разными звуками: как шумит ветер и капает дождик, как гудит поезд и тарахтит трактор, как звенит комарик и жужжит жук, как крякает утка и мычит корова.
Рассматривая красочные иллюстрации, ребёнок научится произносить первые звуки и узнает новые слова. Книга выполнена из плотного картона, имеет скруглённые уголки и подходит для детей от 6 месяцев.</t>
  </si>
  <si>
    <t>9785378352333</t>
  </si>
  <si>
    <t>d27b8e5212ebf23497586f2f534d4fe3</t>
  </si>
  <si>
    <t>241756</t>
  </si>
  <si>
    <t>ЦК. КОТЁНОК ТИМ ОДИН ДОМА</t>
  </si>
  <si>
    <t>978-5-378-35234-0</t>
  </si>
  <si>
    <t>9785378352340</t>
  </si>
  <si>
    <t>d340f8374c3a40776c948e393b066cbc</t>
  </si>
  <si>
    <t>165073</t>
  </si>
  <si>
    <t>ЦК. КРАСНАЯ ШАПОЧКА (мельница)</t>
  </si>
  <si>
    <t>978-5-378-31852-0</t>
  </si>
  <si>
    <t>9785378318520</t>
  </si>
  <si>
    <t>244627</t>
  </si>
  <si>
    <t xml:space="preserve">ЦК. КУРОЧКА РЯБА </t>
  </si>
  <si>
    <t>978-5-378-35367-5</t>
  </si>
  <si>
    <t>9785378353675</t>
  </si>
  <si>
    <t>7a79dcbced056bb1a19cceb9dd3153a2</t>
  </si>
  <si>
    <t>165071</t>
  </si>
  <si>
    <t>ЦК. КУРОЧКА РЯБА (в избе)</t>
  </si>
  <si>
    <t>978-5-378-31793-6</t>
  </si>
  <si>
    <t>9785378317936</t>
  </si>
  <si>
    <t>171799</t>
  </si>
  <si>
    <t>ЦК. ЛАДУШКИ-ЛАДОШКИ(Балуева)</t>
  </si>
  <si>
    <t>978-5-378-32271-8</t>
  </si>
  <si>
    <t>9785378322718</t>
  </si>
  <si>
    <t>238141</t>
  </si>
  <si>
    <t>ЦК. ЛИСЁНОК УЧИТ ЦВЕТА</t>
  </si>
  <si>
    <t>978-5-378-35119-0</t>
  </si>
  <si>
    <t>9785378351190</t>
  </si>
  <si>
    <t>fa7d2007504f5c38e9eb49880cf1bc1f</t>
  </si>
  <si>
    <t>147086</t>
  </si>
  <si>
    <t>ЦК. ЛИСИЧКА-СЕСТРИЧКА И ВОЛК</t>
  </si>
  <si>
    <t>978-5-378-30912-2</t>
  </si>
  <si>
    <t>9785378309122</t>
  </si>
  <si>
    <t>221307</t>
  </si>
  <si>
    <t>ЦК. ЛУЧШИЙ ДЛЯ МАМЫ</t>
  </si>
  <si>
    <t>978-5-378-34600-4</t>
  </si>
  <si>
    <t>9785378346004</t>
  </si>
  <si>
    <t>244632</t>
  </si>
  <si>
    <t xml:space="preserve">ЦК. МАЛЕНЬКИЙ ТРАКТОР. ДАВАЙ ДРУЖИТЬ </t>
  </si>
  <si>
    <t>978-5-378-35369-9</t>
  </si>
  <si>
    <t>9785378353699</t>
  </si>
  <si>
    <t>4dead28d54a868b7e045fa6caa4f96de</t>
  </si>
  <si>
    <t>244629</t>
  </si>
  <si>
    <t xml:space="preserve">ЦК. МАЛЕНЬКИЙ ТРАКТОР. ПОРА СПАТЬ </t>
  </si>
  <si>
    <t>978-5-378-35368-2</t>
  </si>
  <si>
    <t>9785378353682</t>
  </si>
  <si>
    <t>244656</t>
  </si>
  <si>
    <t xml:space="preserve">ЦК. МАЛЫШАМ О НАСЕКОМЫХ </t>
  </si>
  <si>
    <t>978-5-378-35373-6</t>
  </si>
  <si>
    <t>9785378353736</t>
  </si>
  <si>
    <t>63b087510d3e4774aa99e3a8c3ea3e4a</t>
  </si>
  <si>
    <t>270107</t>
  </si>
  <si>
    <t>ЦК. МАМЫ И МАЛЫШИ</t>
  </si>
  <si>
    <t>978-5-378-36003-1</t>
  </si>
  <si>
    <t>9785378360031</t>
  </si>
  <si>
    <t>Купырина Анна Михайловна,Строителева Анна Владимировна,Красилёва Ольга</t>
  </si>
  <si>
    <t>144085</t>
  </si>
  <si>
    <t>ЦК. МАШЕНЬКА И МЕДВЕДЬ (новая)</t>
  </si>
  <si>
    <t>978-5-378-30810-1</t>
  </si>
  <si>
    <t>9785378308101</t>
  </si>
  <si>
    <t>238142</t>
  </si>
  <si>
    <t>ЦК. МЕДВЕЖОНОК УЧИТ ФОРМЫ</t>
  </si>
  <si>
    <t>978-5-378-35120-6</t>
  </si>
  <si>
    <t>9785378351206</t>
  </si>
  <si>
    <t>f66ee5bf0cf1c585a668b306145141dd</t>
  </si>
  <si>
    <t>014149</t>
  </si>
  <si>
    <t>ЦК. ПЕСЕНКА ЛЬВЕНКА И ЧЕРЕПАХИ</t>
  </si>
  <si>
    <t>978-5-378-00819-3</t>
  </si>
  <si>
    <t>9785378008193</t>
  </si>
  <si>
    <t>Козлов Сергей Григорьевич</t>
  </si>
  <si>
    <t>08.02.2018 0:00:00</t>
  </si>
  <si>
    <t>147082</t>
  </si>
  <si>
    <t>ЦК. ПЕТУШОК-ЗОЛОТОЙ ГРЕБЕШОК</t>
  </si>
  <si>
    <t>978-5-378-30808-8</t>
  </si>
  <si>
    <t>9785378308088</t>
  </si>
  <si>
    <t>147083</t>
  </si>
  <si>
    <t>ЦК. ПО ЩУЧЬЕМУ ВЕЛЕНЬЮ(Новая)</t>
  </si>
  <si>
    <t>978-5-378-30911-5</t>
  </si>
  <si>
    <t>9785378309115</t>
  </si>
  <si>
    <t>240154</t>
  </si>
  <si>
    <t>ЦК. ПОДАРОК ДЛЯ МАМЫ</t>
  </si>
  <si>
    <t>978-5-378-35218-0</t>
  </si>
  <si>
    <t>9785378352180</t>
  </si>
  <si>
    <t>244636</t>
  </si>
  <si>
    <t xml:space="preserve">ЦК. РЕПКА </t>
  </si>
  <si>
    <t>978-5-378-35362-0</t>
  </si>
  <si>
    <t>9785378353620</t>
  </si>
  <si>
    <t>160х220</t>
  </si>
  <si>
    <t>128325</t>
  </si>
  <si>
    <t>ЦК. РЕПКА (новая)</t>
  </si>
  <si>
    <t>978-5-378-30093-8</t>
  </si>
  <si>
    <t>9785378300938</t>
  </si>
  <si>
    <t>014416</t>
  </si>
  <si>
    <t>ЦК. СЕРЕНЬКИЙ КОЗЛИК</t>
  </si>
  <si>
    <t>978-5-378-00966-4</t>
  </si>
  <si>
    <t>9785378009664</t>
  </si>
  <si>
    <t>248054</t>
  </si>
  <si>
    <t>ЦК. СКАЗКА О РЫБАКЕ И РЫБКЕ</t>
  </si>
  <si>
    <t>978-5-378-35448-1</t>
  </si>
  <si>
    <t>9785378354481</t>
  </si>
  <si>
    <t>244639</t>
  </si>
  <si>
    <t>ЦК. СКАЗКА О РЫБАКЕ И РЫБКЕ. ПУШКИН</t>
  </si>
  <si>
    <t>978-5-378-35364-4</t>
  </si>
  <si>
    <t>9785378353644</t>
  </si>
  <si>
    <t>152893</t>
  </si>
  <si>
    <t>ЦК. СНЕЖНАЯ КОРОЛЕВА</t>
  </si>
  <si>
    <t>978-5-378-31056-2</t>
  </si>
  <si>
    <t>9785378310562</t>
  </si>
  <si>
    <t>013845</t>
  </si>
  <si>
    <t>ЦК. СОРОКА-СОРОКА</t>
  </si>
  <si>
    <t>978-5-378-00594-9</t>
  </si>
  <si>
    <t>9785378005949</t>
  </si>
  <si>
    <t>152897</t>
  </si>
  <si>
    <t>ЦК. СПИ, МОЯ РАДОСТЬ, УСНИ</t>
  </si>
  <si>
    <t>978-5-378-31085-2</t>
  </si>
  <si>
    <t>9785378310852</t>
  </si>
  <si>
    <t>161329</t>
  </si>
  <si>
    <t>ЦК. СПЯЩАЯ КРАСАВИЦА</t>
  </si>
  <si>
    <t>978-5-378-31664-9</t>
  </si>
  <si>
    <t>9785378316649</t>
  </si>
  <si>
    <t>152900</t>
  </si>
  <si>
    <t>ЦК. ТЕРЕМОК (новая)</t>
  </si>
  <si>
    <t>978-5-378-31083-8</t>
  </si>
  <si>
    <t>9785378310838</t>
  </si>
  <si>
    <t>b8813fa18daadbe1e42582ac0bbd14dc</t>
  </si>
  <si>
    <t>221308</t>
  </si>
  <si>
    <t>ЦК. ТРАКТОР ВИК И БОЛЬШАЯ ГОНКА</t>
  </si>
  <si>
    <t>978-5-378-34599-1</t>
  </si>
  <si>
    <t>9785378345991</t>
  </si>
  <si>
    <t>240150</t>
  </si>
  <si>
    <t>ЦК. ТРАКТОР ВИК И ЕГО КОМАНДА СПАСАЮТ ЛЕС</t>
  </si>
  <si>
    <t>978-5-378-35215-9</t>
  </si>
  <si>
    <t>9785378352159</t>
  </si>
  <si>
    <t>240149</t>
  </si>
  <si>
    <t>ЦК. ТРАКТОР ВИК И ЕГО ПОЖАРНАЯ КОМАНДА</t>
  </si>
  <si>
    <t>978-5-378-35214-2</t>
  </si>
  <si>
    <t>9785378352142</t>
  </si>
  <si>
    <t>144087</t>
  </si>
  <si>
    <t>ЦК. ТРИ МЕДВЕДЯ</t>
  </si>
  <si>
    <t>978-5-378-30757-9</t>
  </si>
  <si>
    <t>9785378307579</t>
  </si>
  <si>
    <t>ee76b6f99f2a8d4df2320a17af6be472</t>
  </si>
  <si>
    <t>144086</t>
  </si>
  <si>
    <t>ЦК. ТРИ ПОРОСЁНКА (новая)</t>
  </si>
  <si>
    <t>978-5-378-30809-5</t>
  </si>
  <si>
    <t>9785378308095</t>
  </si>
  <si>
    <t>014148</t>
  </si>
  <si>
    <t>ЦК. УЧИМ ЦИФРЫ.НА ЧТО ПОХОЖИ ЦИФРЫ</t>
  </si>
  <si>
    <t>978-5-378-00818-6</t>
  </si>
  <si>
    <t>9785378008186</t>
  </si>
  <si>
    <t>161330</t>
  </si>
  <si>
    <t>ЦК. УЧИМСЯ ПРАВИЛЬНО... ПОЧЕМУ НАДО ЧИСТИТЬ ЗУБЫ (Купырина)</t>
  </si>
  <si>
    <t>978-5-378-31663-2</t>
  </si>
  <si>
    <t>9785378316632</t>
  </si>
  <si>
    <t>240155</t>
  </si>
  <si>
    <t>ЦК. УЧИМСЯ СЧИТАТЬ С КАПИБАРОЙ</t>
  </si>
  <si>
    <t>978-5-378-35219-7</t>
  </si>
  <si>
    <t>9785378352197</t>
  </si>
  <si>
    <t>636300a5dbf79ad986cb61dd510101be</t>
  </si>
  <si>
    <t>152898</t>
  </si>
  <si>
    <t>ЦК. ЦАРЕВНА-ЛЯГУШКА</t>
  </si>
  <si>
    <t>978-5-378-31086-9</t>
  </si>
  <si>
    <t>9785378310869</t>
  </si>
  <si>
    <t>265823</t>
  </si>
  <si>
    <t>ЦК. Я НЕ БОЮСЬ</t>
  </si>
  <si>
    <t>978-5-378-35904-2</t>
  </si>
  <si>
    <t>Серия книг «Развиваем эмоциональный интеллект» поможет детям в лёгкой стихотворной форме познакомиться со страхом, злостью, обидой и ревностью. Каждая книга выполнена ярко и красочно, поэтому привлечет внимание малыша и заинтересует его. Ребёнок может самостоятельно рассматривать картинки, искать знакомых животных, а родитель после прочтения стихотворений может объяснить эмоции зверей, вспомнить похожие ситуации из жизни ребёнка и на примере персонажей показать, как правильнее справляться с ними.</t>
  </si>
  <si>
    <t>9785378359042</t>
  </si>
  <si>
    <t>0a86311472951b33e79d2a9c0b519309</t>
  </si>
  <si>
    <t>265808</t>
  </si>
  <si>
    <t>ЦК. Я НЕ ЗЛЮСЬ</t>
  </si>
  <si>
    <t>978-5-378-35901-1</t>
  </si>
  <si>
    <t>9785378359011</t>
  </si>
  <si>
    <t>05d21bc07b48fefd1794f7c874ec3380</t>
  </si>
  <si>
    <t>265822</t>
  </si>
  <si>
    <t>ЦК. Я НЕ ОБИЖАЮСЬ</t>
  </si>
  <si>
    <t>978-5-378-35903-5</t>
  </si>
  <si>
    <t>9785378359035</t>
  </si>
  <si>
    <t>c6d225036c1fa73de008f8d62af66cc8</t>
  </si>
  <si>
    <t>265821</t>
  </si>
  <si>
    <t>ЦК. Я НЕ РЕВНУЮ</t>
  </si>
  <si>
    <t>978-5-378-35902-8</t>
  </si>
  <si>
    <t>9785378359028</t>
  </si>
  <si>
    <t>0776c600a1da373a35df6c888702cd14</t>
  </si>
  <si>
    <t>270078</t>
  </si>
  <si>
    <t>ЦЫП-ЦЫП. ЦК. ДАВАЙ ДРУЖИТЬ</t>
  </si>
  <si>
    <t>978-5-378-35997-4</t>
  </si>
  <si>
    <t>9785378359974</t>
  </si>
  <si>
    <t>CЕРИЯ: КНИЖКИ НА КАРТОНЕ ЦЕЛЬНОКРЫТЫЕ МИНИ глянц. ламин. обл. 110х150</t>
  </si>
  <si>
    <t>258300</t>
  </si>
  <si>
    <t>КОШЕЧКИ-СОБАЧКИ. ЦК-МИНИ. МИР ВОКРУГ</t>
  </si>
  <si>
    <t>978-5-378-35660-7</t>
  </si>
  <si>
    <t>Новая серия книг на картоне в мини формате познакомит детей с цветами, формами, счётом и миром вокруг нас. Компактный формат 107х150 мм и скругленные углы наших новых книг позволят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 Занимательные книжки с любимыми героями точно понравятся вашему малышу!</t>
  </si>
  <si>
    <t>9785378356607</t>
  </si>
  <si>
    <t>e976206c1961bc5f3e3257838ee32498</t>
  </si>
  <si>
    <t>110х150х6</t>
  </si>
  <si>
    <t>258302</t>
  </si>
  <si>
    <t>КОШЕЧКИ-СОБАЧКИ. ЦК-МИНИ. ФОРМЫ</t>
  </si>
  <si>
    <t>978-5-378-35661-4</t>
  </si>
  <si>
    <t>9785378356614</t>
  </si>
  <si>
    <t>e6b7f9c44560b09e3152df6e2d1d6023</t>
  </si>
  <si>
    <t>270084</t>
  </si>
  <si>
    <t>МАСТЕР ВИТЯ И МОТОР. ЦК МИНИ. УЧИМСЯ СЧИТАТЬ</t>
  </si>
  <si>
    <t>978-5-378-35999-8</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</si>
  <si>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мини-формате 105х150 мм. Каждая книга — это не только встреча с любимыми персонажами, но и полезное знакомство с основами знаний. Вместе с Цыплёнком Цыпом и его друзьями малыши легко и с удовольствием запомнят основные цвета, а первые шаги в математике сделают с изобретательным Витей и его друзьями. Книжки изготовлены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</si>
  <si>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9785378359998</t>
  </si>
  <si>
    <t>e3851519daf6b262d53db8da5d31fea2</t>
  </si>
  <si>
    <t>110х150х5</t>
  </si>
  <si>
    <t>232083</t>
  </si>
  <si>
    <t>МИ-МИ-МИШКИ. ЦК-МИНИ. НАСТОЯЩИЕ ДРУЗЬЯ</t>
  </si>
  <si>
    <t>978-5-378-34842-8</t>
  </si>
  <si>
    <t>Занимательные книжки с любимыми героями мультфильма "МИ-МИ-МИШКИ" точно понравятся вашему малышу! Читайте весёлую историю и дома, и в пути, ведь благодаря удобному формату маленькие книжки удобно брать с собой.</t>
  </si>
  <si>
    <t>9785378348428</t>
  </si>
  <si>
    <t>667df44faa00683815e7ed77fdd74fb6</t>
  </si>
  <si>
    <t>232085</t>
  </si>
  <si>
    <t>СИНИЙ ТРАКТОР. ЦК-МИНИ. ГОРШОК</t>
  </si>
  <si>
    <t>978-5-378-34844-2</t>
  </si>
  <si>
    <t>Занимательные книжки с любимыми героями точно понравятся вашему малышу! Читайте весёлые стихи вместе с Синим Трактором и дома, и в пути, ведь благодаря удобному формату маленькие книжки удобно брать с собой.</t>
  </si>
  <si>
    <t>9785378348442</t>
  </si>
  <si>
    <t>b91395000aca9cc1d5635c09db844536</t>
  </si>
  <si>
    <t>232084</t>
  </si>
  <si>
    <t>СУПЕРМЯУ. ЦК-МИНИ. СЧЁТ</t>
  </si>
  <si>
    <t>978-5-378-34845-9</t>
  </si>
  <si>
    <t>Занимательные книжки с любимыми героями точно понравятся вашему малышу! Вместе с СУПЕРМЯУ ребёнок познакомится с цифрами и научится считать до 10.</t>
  </si>
  <si>
    <t>9785378348459</t>
  </si>
  <si>
    <t>1200c2b910255f2e43b4e341fb40a83e</t>
  </si>
  <si>
    <t>258299</t>
  </si>
  <si>
    <t>ТУРБОЗАВРЫ. ЦК-МИНИ. СЧЁТ ОТ 1 ДО 10</t>
  </si>
  <si>
    <t>978-5-378-35659-1</t>
  </si>
  <si>
    <t>9785378356591</t>
  </si>
  <si>
    <t>aafe6d1e08b1da0cb052b45aa53465d6</t>
  </si>
  <si>
    <t>258304</t>
  </si>
  <si>
    <t>ЦВЕТНЯШКИ. ЦК-МИНИ. СЧИТАЕМ С ЦВЕТНЯШКАМИ</t>
  </si>
  <si>
    <t>978-5-378-35662-1</t>
  </si>
  <si>
    <t>9785378356621</t>
  </si>
  <si>
    <t>a4f0c71d3bc0e3c0cbfcdbbb28c1b34c</t>
  </si>
  <si>
    <t>258305</t>
  </si>
  <si>
    <t>ЦВЕТНЯШКИ. ЦК-МИНИ. УЧИМ ЦВЕТА С ЦВЕТНЯШКАМИ</t>
  </si>
  <si>
    <t>978-5-378-35663-8</t>
  </si>
  <si>
    <t>9785378356638</t>
  </si>
  <si>
    <t>8685078bad31b6ca7e8af3b0b61fc7f7</t>
  </si>
  <si>
    <t>113385</t>
  </si>
  <si>
    <t>ЦК МИНИ. АЗБУКА ПО СЛОГАМ</t>
  </si>
  <si>
    <t>978-5-378-29460-2</t>
  </si>
  <si>
    <t>Новые книги небольшого формата идеально подойдут для маленьких ручек! Малышам понравится листать книжки и рассматривать милые картинки, а родители с удовольствием прочитают детям весёлые потешки и любимые сказки.</t>
  </si>
  <si>
    <t>9785378294602</t>
  </si>
  <si>
    <t>110x150x6</t>
  </si>
  <si>
    <t>015821</t>
  </si>
  <si>
    <t>ЦК МИНИ. АЙБОЛИТ (СО СЛОНОМ)</t>
  </si>
  <si>
    <t>978-5-378-01902-1</t>
  </si>
  <si>
    <t>Картонные книги с глянцевой ламинацией мини станут замечательным дополнением любой детской книжной полки. Издание подходит даже для самых маленьких. Малыш не порвёт плотный картон, и вы сможете читать любимую сказку снова и снова. Ребёнок сам сможет почувствовать себя полноценным читателем: благодаря маленькому формату малыш без труда будет самостоятельно держать книжку и перелистывать страницы. Глянцевая ламинация делает книгу ещё более привлекательной и приятной на ощупь.</t>
  </si>
  <si>
    <t>9785378019021</t>
  </si>
  <si>
    <t>17.01.2018 0:00:00</t>
  </si>
  <si>
    <t>230905</t>
  </si>
  <si>
    <t>ЦК МИНИ. БРЕМЕНСКИЕ МУЗЫКАНТЫ</t>
  </si>
  <si>
    <t>978-5-378-34816-9</t>
  </si>
  <si>
    <t>Давайте знакомить детей с домашними и дикими животными, овощами и фруктами, а также самыми популярными сказками. Мини-формат наших новых книг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</si>
  <si>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9785378348169</t>
  </si>
  <si>
    <t>ред. Гринина Ольга</t>
  </si>
  <si>
    <t>113394</t>
  </si>
  <si>
    <t>ЦК МИНИ. В. МАЯКОВСКИЙ. ЧТО ТАКОЕ ХОРОШО И ЧТО ТАКОЕ ПЛОХО?</t>
  </si>
  <si>
    <t>978-5-378-29463-3</t>
  </si>
  <si>
    <t>9785378294633</t>
  </si>
  <si>
    <t>261451</t>
  </si>
  <si>
    <t>ЦК МИНИ. ВОЛК И СЕМЕРО КОЗЛЯТ</t>
  </si>
  <si>
    <t>978-5-378-35761-1</t>
  </si>
  <si>
    <t>Мини-формат наших новых книг с любимыми сказками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</si>
  <si>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9785378357611</t>
  </si>
  <si>
    <t>06c5aea963ea6cb3a0cea7f3dbf47bb5</t>
  </si>
  <si>
    <t>119437</t>
  </si>
  <si>
    <t>ЦК МИНИ. ВРЕМЕНА ГОДА</t>
  </si>
  <si>
    <t>978-5-378-29678-1</t>
  </si>
  <si>
    <t>9785378296781</t>
  </si>
  <si>
    <t>230906</t>
  </si>
  <si>
    <t>ЦК МИНИ. ГАДКИЙ УТЁНОК</t>
  </si>
  <si>
    <t>978-5-378-34817-6</t>
  </si>
  <si>
    <t>9785378348176</t>
  </si>
  <si>
    <t>261454</t>
  </si>
  <si>
    <t>ЦК МИНИ. ГУСИ-ЛЕБЕДИ</t>
  </si>
  <si>
    <t>978-5-378-35764-2</t>
  </si>
  <si>
    <t>9785378357642</t>
  </si>
  <si>
    <t>d527ae9b2aaa6e70d29322e898821d8e</t>
  </si>
  <si>
    <t>270094</t>
  </si>
  <si>
    <t>ЦК МИНИ. ДАВАЙ ДРУЖИТЬ!</t>
  </si>
  <si>
    <t>978-5-378-35983-7</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</si>
  <si>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закруглённым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</si>
  <si>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9785378359837</t>
  </si>
  <si>
    <t>fd77829e4abeefb41ac79c3f4a5de28c</t>
  </si>
  <si>
    <t>110660</t>
  </si>
  <si>
    <t>ЦК МИНИ. ДЕЛАЕМ ЗАРЯДКУ!</t>
  </si>
  <si>
    <t>978-5-378-29287-5</t>
  </si>
  <si>
    <t>Заботиться о здоровье нужно с самых ранних лет! Новые мини-книжки расскажут малышам, как важно регулярно чистить зубы, мыть руки с мылом! Делать зарядку и правильно питаться!</t>
  </si>
  <si>
    <t>9785378292875</t>
  </si>
  <si>
    <t>110663</t>
  </si>
  <si>
    <t>ЦК МИНИ. ДЕНЬ В ДЕРЕВНЕ</t>
  </si>
  <si>
    <t>978-5-378-29303-2</t>
  </si>
  <si>
    <t>Яркие мини-книжечки расскажут малышам о том: кого можно встретить на ферме, как проходит день принцессы, в какие путешествия отправляется пират, как отважный пожарный всегда готов прийти на помощь!</t>
  </si>
  <si>
    <t>9785378293032</t>
  </si>
  <si>
    <t>Романова Елена Анатольевна</t>
  </si>
  <si>
    <t>230922</t>
  </si>
  <si>
    <t>ЦК МИНИ. ДИКИЕ ЖИВОТНЫЕ</t>
  </si>
  <si>
    <t>978-5-378-34829-9</t>
  </si>
  <si>
    <t>9785378348299</t>
  </si>
  <si>
    <t>260234</t>
  </si>
  <si>
    <t>ЦК МИНИ. ДИКИЕ ЖИВОТНЫЕ (новые)</t>
  </si>
  <si>
    <t>978-5-378-35716-1</t>
  </si>
  <si>
    <t>Картонные книги формата мини - то, что нужно для малышей! Плотный картон и яркие картинки привлекут внимание ребят. В книге 6 разворотов из плотного картона для изучения новых для малыша тем. кругленные углы обеспечивают эстетичность и безопасность в использовании.</t>
  </si>
  <si>
    <t>9785378357161</t>
  </si>
  <si>
    <t>c6547625ef139718430cc4fa84af9621</t>
  </si>
  <si>
    <t>098415</t>
  </si>
  <si>
    <t>ЦК МИНИ. ДОМАШНИЕ ЖИВОТНЫЕ</t>
  </si>
  <si>
    <t>978-5-378-28944-8</t>
  </si>
  <si>
    <t>Новая серия мини-книжек о животных обязательно понравится малышам. Яркие фотографии, милые стихи, интересные факты и забавные задания помогут привлечь внимание маленьких непосед, а удобный карманный формат позволит взять эти книжки с собой, чтобы скоротать время в пути.</t>
  </si>
  <si>
    <t>9785378289448</t>
  </si>
  <si>
    <t>230924</t>
  </si>
  <si>
    <t>978-5-378-34830-5</t>
  </si>
  <si>
    <t>9785378348305</t>
  </si>
  <si>
    <t>260235</t>
  </si>
  <si>
    <t>ЦК МИНИ. ДОМАШНИЕ ЖИВОТНЫЕ (новые)</t>
  </si>
  <si>
    <t>978-5-378-35717-8</t>
  </si>
  <si>
    <t>9785378357178</t>
  </si>
  <si>
    <t>0f72d5b56c281ba29c9f7975c7bfc6c0</t>
  </si>
  <si>
    <t>230907</t>
  </si>
  <si>
    <t>ЦК МИНИ. ДЮЙМОВОЧКА</t>
  </si>
  <si>
    <t>978-5-378-34818-3</t>
  </si>
  <si>
    <t>9785378348183</t>
  </si>
  <si>
    <t>118875</t>
  </si>
  <si>
    <t>ЦК МИНИ. ЕНОТИК</t>
  </si>
  <si>
    <t>978-5-378-29601-9</t>
  </si>
  <si>
    <t>9785378296019</t>
  </si>
  <si>
    <t>098418</t>
  </si>
  <si>
    <t>ЦК МИНИ. ЖИВОТНЫЕ ИЗ ДЖУНГЛЕЙ</t>
  </si>
  <si>
    <t>978-5-378-28948-6</t>
  </si>
  <si>
    <t>9785378289486</t>
  </si>
  <si>
    <t>119435</t>
  </si>
  <si>
    <t>ЦК МИНИ. ЗАГАДКИ</t>
  </si>
  <si>
    <t>978-5-378-29490-9</t>
  </si>
  <si>
    <t>9785378294909</t>
  </si>
  <si>
    <t>261453</t>
  </si>
  <si>
    <t>ЦК МИНИ. ЗАЮШКИНА ИЗБУШКА</t>
  </si>
  <si>
    <t>978-5-378-35763-5</t>
  </si>
  <si>
    <t>9785378357635</t>
  </si>
  <si>
    <t>79f9ad2a66a406f5a979c291c9af3b3d</t>
  </si>
  <si>
    <t>013808</t>
  </si>
  <si>
    <t>ЦК МИНИ. ИДЁТ КОЗА РОГАТАЯ (КОРЗИНКА С ЯБЛОКАМИ)</t>
  </si>
  <si>
    <t>978-5-378-00575-8</t>
  </si>
  <si>
    <t>9785378005758</t>
  </si>
  <si>
    <t>267750</t>
  </si>
  <si>
    <t>ЦК МИНИ. КАКОЙ ЭТО ЦВЕТ?</t>
  </si>
  <si>
    <t>978-5-378-35911-0</t>
  </si>
  <si>
    <t>Серия "Книжки для малыша и малышки" - это яркие понятные иллюстрации и коротенькие простые стишки. Компактный формат идеален для первого чтения и подходит для маленьких детских ручек. С этими книгами ребенок будет узнавать животных, их детенышей, что они едят и где живут, а также знакомиться с цветами предметов.</t>
  </si>
  <si>
    <t>9785378359110</t>
  </si>
  <si>
    <t>a0c993375477020c8c68f4ff097941d7</t>
  </si>
  <si>
    <t>230909</t>
  </si>
  <si>
    <t>ЦК МИНИ. КОЛОБОК</t>
  </si>
  <si>
    <t>978-5-378-34819-0</t>
  </si>
  <si>
    <t>9785378348190</t>
  </si>
  <si>
    <t>230910</t>
  </si>
  <si>
    <t>ЦК МИНИ. КОТ В САПОГАХ</t>
  </si>
  <si>
    <t>978-5-378-34820-6</t>
  </si>
  <si>
    <t>9785378348206</t>
  </si>
  <si>
    <t>118876</t>
  </si>
  <si>
    <t>ЦК МИНИ. КОТЁНОК</t>
  </si>
  <si>
    <t>978-5-378-29602-6</t>
  </si>
  <si>
    <t>9785378296026</t>
  </si>
  <si>
    <t>270102</t>
  </si>
  <si>
    <t>ЦК МИНИ. КТО КАК ГОВОРИТ?</t>
  </si>
  <si>
    <t>978-5-378-36000-0</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</si>
  <si>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закругленным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</si>
  <si>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9785378360000</t>
  </si>
  <si>
    <t>Строителева Анна Владимировна,Купырина Анна Михайловна</t>
  </si>
  <si>
    <t>12619a8fef904bfe97d3bfd43d062ec3</t>
  </si>
  <si>
    <t>230902</t>
  </si>
  <si>
    <t>ЦК МИНИ. КУРОЧКА РЯБА</t>
  </si>
  <si>
    <t>978-5-378-34814-5</t>
  </si>
  <si>
    <t>9785378348145</t>
  </si>
  <si>
    <t>110573</t>
  </si>
  <si>
    <t>ЦК МИНИ. КУШАЕМ С ПОТЕШКОЙ</t>
  </si>
  <si>
    <t>978-5-378-29280-6</t>
  </si>
  <si>
    <t>Перед вами яркие, красочные книжки, с которыми можно превратить умывание ребёнка в весёлую, каждодневную игру, наполнить пробуждение малыша положительными эмоциями, принятие пищи сделать лёгким и непринуждённым, а ещё познакомить кроху с самыми известными животными. Книги имеют небольшой формат, поэтому деткам очень удобно держать их в маленьких ручках.</t>
  </si>
  <si>
    <t>9785378292806</t>
  </si>
  <si>
    <t>Балуева Оксана Борисовна,Гражданцева Ольга Владимировна,Сенчищева Татьяна Васильевна,Стрельникова Кристина Ивановна</t>
  </si>
  <si>
    <t>190567</t>
  </si>
  <si>
    <t>ЦК МИНИ. ЛАДУШКИ-ЛАДОШКИ</t>
  </si>
  <si>
    <t>978-5-378-33906-8</t>
  </si>
  <si>
    <t>9785378339068</t>
  </si>
  <si>
    <t>098416</t>
  </si>
  <si>
    <t>ЦК МИНИ. ЛЕСНЫЕ ЖИВОТНЫЕ</t>
  </si>
  <si>
    <t>978-5-378-28945-5</t>
  </si>
  <si>
    <t>9785378289455</t>
  </si>
  <si>
    <t>230913</t>
  </si>
  <si>
    <t>ЦК МИНИ. ЛИСИЧКА-СЕСТРИЧКА И СЕРЫЙ ВОЛК</t>
  </si>
  <si>
    <t>978-5-378-34822-0</t>
  </si>
  <si>
    <t>9785378348220</t>
  </si>
  <si>
    <t>260236</t>
  </si>
  <si>
    <t>ЦК МИНИ. ЛЮБИМЫЙ ТРАНСПОРТ</t>
  </si>
  <si>
    <t>978-5-378-35718-5</t>
  </si>
  <si>
    <t>9785378357185</t>
  </si>
  <si>
    <t>5e6c77d4ce28694efde48653d3b595df</t>
  </si>
  <si>
    <t>113390</t>
  </si>
  <si>
    <t>ЦК МИНИ. МАЛЫШИ И МАМЫ</t>
  </si>
  <si>
    <t>978-5-378-29466-4</t>
  </si>
  <si>
    <t>9785378294664</t>
  </si>
  <si>
    <t>124235</t>
  </si>
  <si>
    <t>ЦК МИНИ. МАМЫ И МАЛЫШИ</t>
  </si>
  <si>
    <t>978-5-378-29885-3</t>
  </si>
  <si>
    <t>Книги данной серии предназначены для самых маленьких слушателей. Они познакомят малышей с удивительными животными и интересными профессиями. А ещё расскажут о материнской заботе и о том, как важно помогать маме по дому. Книги имеют небольшой формат, комфортный для детской ручки.</t>
  </si>
  <si>
    <t>9785378298853</t>
  </si>
  <si>
    <t>230914</t>
  </si>
  <si>
    <t>ЦК МИНИ. МАШЕНЬКА И МЕДВЕДЬ</t>
  </si>
  <si>
    <t>978-5-378-34823-7</t>
  </si>
  <si>
    <t>9785378348237</t>
  </si>
  <si>
    <t>123625</t>
  </si>
  <si>
    <t>ЦК МИНИ. МИР ЖИВОТНЫХ</t>
  </si>
  <si>
    <t>978-5-378-29813-6</t>
  </si>
  <si>
    <t>9785378298136</t>
  </si>
  <si>
    <t>Балуева Оксана Борисовна,Ушкина Наталья Евгеньевна</t>
  </si>
  <si>
    <t>270096</t>
  </si>
  <si>
    <t>ЦК МИНИ. МОЙ ЛЮБИМЫЙ ПИТОМЕЦ</t>
  </si>
  <si>
    <t>978-5-378-35985-1</t>
  </si>
  <si>
    <t>9785378359851</t>
  </si>
  <si>
    <t>b34910fe30f8f0bed70bc2b3990941a5</t>
  </si>
  <si>
    <t>016063</t>
  </si>
  <si>
    <t>ЦК МИНИ. МОЙДОДЫР (БЕЛЫЙ)</t>
  </si>
  <si>
    <t>978-5-378-02157-4</t>
  </si>
  <si>
    <t>9785378021574</t>
  </si>
  <si>
    <t>270097</t>
  </si>
  <si>
    <t>ЦК МИНИ. МОЯ СЕМЬЯ</t>
  </si>
  <si>
    <t>978-5-378-35984-4</t>
  </si>
  <si>
    <t>9785378359844</t>
  </si>
  <si>
    <t>fb42e4ac4f17fc9db09737c5505b5b7b</t>
  </si>
  <si>
    <t>260238</t>
  </si>
  <si>
    <t>ЦК МИНИ. ОВОЩИ, ФРУКТЫ, ЯГОДЫ</t>
  </si>
  <si>
    <t>978-5-378-35719-2</t>
  </si>
  <si>
    <t>9785378357192</t>
  </si>
  <si>
    <t>0004a327198a864bf7ae9572d29d81b4</t>
  </si>
  <si>
    <t>230920</t>
  </si>
  <si>
    <t>ЦК МИНИ. ПЕРВЫЕ СЛОВА</t>
  </si>
  <si>
    <t>978-5-378-34828-2</t>
  </si>
  <si>
    <t>9785378348282</t>
  </si>
  <si>
    <t>113391</t>
  </si>
  <si>
    <t>ЦК МИНИ. ПО ЩУЧЬЕМУ ВЕЛЕНЬЮ (новая)</t>
  </si>
  <si>
    <t>978-5-378-29462-6</t>
  </si>
  <si>
    <t>9785378294626</t>
  </si>
  <si>
    <t>258295</t>
  </si>
  <si>
    <t>ЦК МИНИ. ПОРА НА ГОРШОК</t>
  </si>
  <si>
    <t>978-5-378-35654-6</t>
  </si>
  <si>
    <t>Занимательные книжки с яркими милыми иллюстрациями обязательно увлекут малышей. Добрые забавные стихи помогут ребёнку сказать «Прощай!» подгузникам и освоить важный навык — пользование горшком. Вместе с главными героями малыш поймёт, что это гораздо удобнее и даёт возможность почувствовать себя взрослее и увереннее в себе. Читайте дома и в пути, ведь благодаря удобному формату эти мини-книжки удобно брать с собой.</t>
  </si>
  <si>
    <t>9785378356546</t>
  </si>
  <si>
    <t>531ff0e201de54aea4d56aa40ea9f2be</t>
  </si>
  <si>
    <t>113392</t>
  </si>
  <si>
    <t>ЦК МИНИ. ПОТЕШКИ ДЛЯ МАЛЫШЕЙ (Медведь)</t>
  </si>
  <si>
    <t>978-5-378-29465-7</t>
  </si>
  <si>
    <t>9785378294657</t>
  </si>
  <si>
    <t>016133</t>
  </si>
  <si>
    <t>ЦК МИНИ. ПРИНЦЕССА НА ГОРОШИНЕ</t>
  </si>
  <si>
    <t>978-5-378-02213-7</t>
  </si>
  <si>
    <t>9785378022137</t>
  </si>
  <si>
    <t>230915</t>
  </si>
  <si>
    <t>978-5-378-34824-4</t>
  </si>
  <si>
    <t>9785378348244</t>
  </si>
  <si>
    <t>270101</t>
  </si>
  <si>
    <t>ЦК МИНИ. РЕЖИМ ДНЯ</t>
  </si>
  <si>
    <t>978-5-378-36001-7</t>
  </si>
  <si>
    <t>9785378360017</t>
  </si>
  <si>
    <t>94a85e61a0818150bed61492ca1c39d0</t>
  </si>
  <si>
    <t>117214</t>
  </si>
  <si>
    <t>ЦК МИНИ. СЕРЕНЬКИЙ КОЗЛИК</t>
  </si>
  <si>
    <t>978-5-378-29570-8</t>
  </si>
  <si>
    <t>9785378295708</t>
  </si>
  <si>
    <t>270099</t>
  </si>
  <si>
    <t>ЦК МИНИ. СКОРЕЕ НА ГОРШОК!</t>
  </si>
  <si>
    <t>978-5-378-36002-4</t>
  </si>
  <si>
    <t>9785378360024</t>
  </si>
  <si>
    <t>Черепанова Мария</t>
  </si>
  <si>
    <t>8c7028f55446e465135f1852169780ee</t>
  </si>
  <si>
    <t>119436</t>
  </si>
  <si>
    <t>ЦК МИНИ. СКОРОГОВОРКИ</t>
  </si>
  <si>
    <t>978-5-378-29492-3</t>
  </si>
  <si>
    <t>9785378294923</t>
  </si>
  <si>
    <t>113393</t>
  </si>
  <si>
    <t>ЦК МИНИ. СЧИТАЕМ ОТ 1 ДО 10</t>
  </si>
  <si>
    <t>978-5-378-29458-9</t>
  </si>
  <si>
    <t>9785378294589</t>
  </si>
  <si>
    <t>016041</t>
  </si>
  <si>
    <t>ЦК МИНИ. ТАРАКАНИЩЕ (БЕЛАЯ)</t>
  </si>
  <si>
    <t>978-5-378-02161-1</t>
  </si>
  <si>
    <t>9785378021611</t>
  </si>
  <si>
    <t>016051</t>
  </si>
  <si>
    <t>ЦК МИНИ. ТЕЛЕФОН (СИНИЙ ТЕЛЕФОН)</t>
  </si>
  <si>
    <t>978-5-378-02160-4</t>
  </si>
  <si>
    <t>9785378021604</t>
  </si>
  <si>
    <t>016050</t>
  </si>
  <si>
    <t>ЦК МИНИ. ФЕДОРИНО ГОРЕ (БЕЛАЯ)</t>
  </si>
  <si>
    <t>978-5-378-02159-8</t>
  </si>
  <si>
    <t>9785378021598</t>
  </si>
  <si>
    <t>230925</t>
  </si>
  <si>
    <t>ЦК МИНИ. ФРУКТЫ И ОВОЩИ</t>
  </si>
  <si>
    <t>978-5-378-34831-2</t>
  </si>
  <si>
    <t>9785378348312</t>
  </si>
  <si>
    <t>267751</t>
  </si>
  <si>
    <t>ЦК МИНИ. ЧЕЙ ЭТО МАЛЫШ?</t>
  </si>
  <si>
    <t>978-5-378-35914-1</t>
  </si>
  <si>
    <t>9785378359141</t>
  </si>
  <si>
    <t>0b76312588972c277d65d78c8f2ba19f</t>
  </si>
  <si>
    <t>110661</t>
  </si>
  <si>
    <t>ЦК МИНИ. ЧИСТИМ ЗУБЫ!</t>
  </si>
  <si>
    <t>978-5-378-29285-1</t>
  </si>
  <si>
    <t>9785378292851</t>
  </si>
  <si>
    <t>118878</t>
  </si>
  <si>
    <t>ЦК МИНИ. ЩЕНОК</t>
  </si>
  <si>
    <t>978-5-378-29603-3</t>
  </si>
  <si>
    <t>9785378296033</t>
  </si>
  <si>
    <t>258296</t>
  </si>
  <si>
    <t>ЦК МИНИ. Я ИДУ К ВРАЧУ</t>
  </si>
  <si>
    <t>978-5-378-35656-0</t>
  </si>
  <si>
    <t>Занимательные книжки с яркими милыми иллюстрациями обязательно увлекут малышей. Добрые стихи расскажут о том, какие болезни лечат разные врачи: педиатр, стоматолог, отоларинголог, офтальмолог, травматолог, – и почему их не стоит бояться. Читайте дома и в пути, ведь благодаря удобному формату эти мини-книжки удобно брать с собой.</t>
  </si>
  <si>
    <t>9785378356560</t>
  </si>
  <si>
    <t>99bd60d1c3b551f8811d5000828a9af4</t>
  </si>
  <si>
    <t>270098</t>
  </si>
  <si>
    <t>ЦК МИНИ. Я ЛЮБЛЮ МАМУ!</t>
  </si>
  <si>
    <t>978-5-378-35986-8</t>
  </si>
  <si>
    <t>9785378359868</t>
  </si>
  <si>
    <t>0cd688d7722ef9050bbcab66bde7ed89</t>
  </si>
  <si>
    <t>258297</t>
  </si>
  <si>
    <t>ЦК МИНИ. Я НЕ БОЮСЬ</t>
  </si>
  <si>
    <t>978-5-378-35655-3</t>
  </si>
  <si>
    <t>Занимательные книжки с яркими милыми иллюстрациями обязательно увлекут малышей. Главный герой – маленький, но смелый мальчик. Он в стихах расскажет о том, почему не стоит бояться монстров и темноты, ходить к врачу, спать одному в комнате и ошибаться, когда учишься делать что-то новое. Читайте дома и в пути, ведь благодаря удобному формату эти мини-книжки удобно брать с собой.</t>
  </si>
  <si>
    <t>9785378356553</t>
  </si>
  <si>
    <t>e381d7da1d09fbde7485c468539429d2</t>
  </si>
  <si>
    <t>269297</t>
  </si>
  <si>
    <t>ЦЫП-ЦЫП. ЦК-МИНИ. УЧИМ ЦВЕТА</t>
  </si>
  <si>
    <t>978-5-378-35979-0</t>
  </si>
  <si>
    <t>9785378359790</t>
  </si>
  <si>
    <t>4b35a786ffe8a58b0af496019786a7f0</t>
  </si>
  <si>
    <t>CЕРИЯ: КНИЖКИ НА КАРТОНЕ ЦК "ЛИПУЧКИ" 5 разворотов, глянц.ламинация 160х220</t>
  </si>
  <si>
    <t>248062</t>
  </si>
  <si>
    <t>ЦК. ЛИПУЧКИ. ДОМАШНИЕ ЖИВОТНЫЕ</t>
  </si>
  <si>
    <t>978-5-378-35442-9</t>
  </si>
  <si>
    <t>Книжка на картоне с фигурками на липучках – незаменимый помощник в обучении и раннем развитии малышей. Занимаясь вместе со взрослыми, дети узнают много интересного об окружающем мире, расширят кругозор и пополнят словарный запас. Интерактивная игра с липучками тренирует мелкую моторику рук, развивает сенсорное восприятие и логическое мышление. На каждом развороте малышей ждут познавательные факты, весёлые загадки, задания и вопросы.</t>
  </si>
  <si>
    <t>9785378354429</t>
  </si>
  <si>
    <t>0dd468a92c579a390d01a28abcd56c97</t>
  </si>
  <si>
    <t>248061</t>
  </si>
  <si>
    <t>ЦК. ЛИПУЧКИ. ЖИВОТНЫЙ МИР</t>
  </si>
  <si>
    <t>978-5-378-35441-2</t>
  </si>
  <si>
    <t>9785378354412</t>
  </si>
  <si>
    <t>fbfd1ea6ab60bdcb22076ae62731c4aa</t>
  </si>
  <si>
    <t>248064</t>
  </si>
  <si>
    <t>ЦК. ЛИПУЧКИ. СИНИЙ ТРАКТОР И ДРУЗЬЯ</t>
  </si>
  <si>
    <t>978-5-378-35443-6</t>
  </si>
  <si>
    <t>9785378354436</t>
  </si>
  <si>
    <t>e75bb1e82a43d0030215de22e0c6a2cd</t>
  </si>
  <si>
    <t>248063</t>
  </si>
  <si>
    <t>ЦК. ЛИПУЧКИ. ТРАНСПОРТ</t>
  </si>
  <si>
    <t>978-5-378-35444-3</t>
  </si>
  <si>
    <t>9785378354443</t>
  </si>
  <si>
    <t>5f487b1aec98216024633e6525602b4b</t>
  </si>
  <si>
    <t>CЕРИЯ: КНИЖКИ НА КАРТОНЕ ЦК "МАЛЕНЬКИЙ ТРАКТОР" 5 разворотов, 145х145</t>
  </si>
  <si>
    <t>242340</t>
  </si>
  <si>
    <t>ЦК 145х145. МАЛЕНЬКИЙ ТРАКТОР. ДАВАЙ ДРУЖИТЬ</t>
  </si>
  <si>
    <t>978-5-378-35238-8</t>
  </si>
  <si>
    <t xml:space="preserve">Серия «Маленький трактор» – это картонные мини-книжки, в которых главный герой – тракторенок – учится дружить, помогать в поле, преодолевать страхи и засыпать – легко и вовремя. </t>
  </si>
  <si>
    <t>9785378352388</t>
  </si>
  <si>
    <t>8642632d4337aba8fcc33c0745f9afcc</t>
  </si>
  <si>
    <t>15.01.2025 0:00:00</t>
  </si>
  <si>
    <t>142х144х5</t>
  </si>
  <si>
    <t>242341</t>
  </si>
  <si>
    <t>ЦК 145х145. МАЛЕНЬКИЙ ТРАКТОР. НЕ БОЙСЯ</t>
  </si>
  <si>
    <t>978-5-378-35239-5</t>
  </si>
  <si>
    <t>9785378352395</t>
  </si>
  <si>
    <t>0c2fd35ac4319f697ea436cbe1d7e17e</t>
  </si>
  <si>
    <t>242342</t>
  </si>
  <si>
    <t>ЦК 145х145. МАЛЕНЬКИЙ ТРАКТОР. ПОРА СПАТЬ</t>
  </si>
  <si>
    <t>978-5-378-35240-1</t>
  </si>
  <si>
    <t>9785378352401</t>
  </si>
  <si>
    <t>8f7cd6592f596da1ea019285e8be5168</t>
  </si>
  <si>
    <t>242343</t>
  </si>
  <si>
    <t>ЦК 145х145. МАЛЕНЬКИЙ ТРАКТОР. Я ПОМОЩНИК</t>
  </si>
  <si>
    <t>978-5-378-35241-8</t>
  </si>
  <si>
    <t>9785378352418</t>
  </si>
  <si>
    <t>4ccf3137e9cbda3644e591b1bccbf81c</t>
  </si>
  <si>
    <t>CЕРИЯ: КНИЖКИ НА КАРТОНЕ ЦК "ПЕРВЫЕ МАШИНКИ" 5 разворотов 145х145</t>
  </si>
  <si>
    <t>211317</t>
  </si>
  <si>
    <t>ЦК 145х145. ПЕРВЫЕ МАШИНКИ. ПОМОЩНИКИ</t>
  </si>
  <si>
    <t>978-5-378-35751-2</t>
  </si>
  <si>
    <t>9785378357512</t>
  </si>
  <si>
    <t>c471b47545153f42032530f6b20a620a</t>
  </si>
  <si>
    <t>145х145х5</t>
  </si>
  <si>
    <t>211318</t>
  </si>
  <si>
    <t>ЦК 145х145. ПЕРВЫЕ МАШИНКИ. СПАСАТЕЛИ</t>
  </si>
  <si>
    <t>978-5-378-35752-9</t>
  </si>
  <si>
    <t>9785378357529</t>
  </si>
  <si>
    <t>21eec56f310e1ebd038e4fba397e1693</t>
  </si>
  <si>
    <t>211320</t>
  </si>
  <si>
    <t>ЦК 145х145. ПЕРВЫЕ МАШИНКИ. СПОРТИВНЫЕ МАШИНЫ</t>
  </si>
  <si>
    <t>978-5-378-35753-6</t>
  </si>
  <si>
    <t>9785378357536</t>
  </si>
  <si>
    <t>402548d97f60ec3d951407ccd281dd08</t>
  </si>
  <si>
    <t>211319</t>
  </si>
  <si>
    <t>ЦК 145х145. ПЕРВЫЕ МАШИНКИ. СТРОИТЕЛИ</t>
  </si>
  <si>
    <t>978-5-378-35754-3</t>
  </si>
  <si>
    <t>9785378357543</t>
  </si>
  <si>
    <t>eb89ffe930099c391bd517b25751ca95</t>
  </si>
  <si>
    <t>CЕРИЯ: КНИЖКИ НА КАРТОНЕ ЦК 5 разворотов, круг.угол. 145х145</t>
  </si>
  <si>
    <t>248076</t>
  </si>
  <si>
    <t>ЦК 145х145. АЗБУКА (новая)</t>
  </si>
  <si>
    <t>978-5-378-35450-4</t>
  </si>
  <si>
    <t>9785378354504</t>
  </si>
  <si>
    <t>248078</t>
  </si>
  <si>
    <t>ЦК 145х145. ВЕСЁЛЫЙ ТРАНСПОРТ</t>
  </si>
  <si>
    <t>978-5-378-35451-1</t>
  </si>
  <si>
    <t>9785378354511</t>
  </si>
  <si>
    <t>248079</t>
  </si>
  <si>
    <t>ЦК 145х145. ДОМАШНИЕ ЖИВОТНЫЕ</t>
  </si>
  <si>
    <t>978-5-378-35452-8</t>
  </si>
  <si>
    <t>9785378354528</t>
  </si>
  <si>
    <t>248082</t>
  </si>
  <si>
    <t>ЦК 145х145. КТО ТАК ГОВОРИТ?</t>
  </si>
  <si>
    <t>978-5-378-35453-5</t>
  </si>
  <si>
    <t>9785378354535</t>
  </si>
  <si>
    <t>248083</t>
  </si>
  <si>
    <t>ЦК 145х145. МАМЫ И МАЛЫШИ</t>
  </si>
  <si>
    <t>978-5-378-35454-2</t>
  </si>
  <si>
    <t>9785378354542</t>
  </si>
  <si>
    <t>248084</t>
  </si>
  <si>
    <t>ЦК 145х145. МОЙ ДОМ</t>
  </si>
  <si>
    <t>978-5-378-35455-9</t>
  </si>
  <si>
    <t>9785378354559</t>
  </si>
  <si>
    <t>248085</t>
  </si>
  <si>
    <t>ЦК 145х145. ОВОЩИ, ФРУКТЫ, ЯГОДЫ</t>
  </si>
  <si>
    <t>978-5-378-35456-6</t>
  </si>
  <si>
    <t>9785378354566</t>
  </si>
  <si>
    <t>248086</t>
  </si>
  <si>
    <t>ЦК 145х145. ПОТЕШКИ</t>
  </si>
  <si>
    <t>978-5-378-35457-3</t>
  </si>
  <si>
    <t>9785378354573</t>
  </si>
  <si>
    <t>248087</t>
  </si>
  <si>
    <t>ЦК 145х145. СЧЁТ (новая)</t>
  </si>
  <si>
    <t>978-5-378-35458-0</t>
  </si>
  <si>
    <t>9785378354580</t>
  </si>
  <si>
    <t>248088</t>
  </si>
  <si>
    <t>ЦК 145х145. УЧИМ ЦВЕТА</t>
  </si>
  <si>
    <t>978-5-378-35459-7</t>
  </si>
  <si>
    <t>9785378354597</t>
  </si>
  <si>
    <t>248089</t>
  </si>
  <si>
    <t>ЦК 145х145. ФОРМЫ (новая)</t>
  </si>
  <si>
    <t>978-5-378-35460-3</t>
  </si>
  <si>
    <t>9785378354603</t>
  </si>
  <si>
    <t>248090</t>
  </si>
  <si>
    <t>ЦК 145х145. ЧЕЙ ЭТО ДОМИК</t>
  </si>
  <si>
    <t>978-5-378-35461-0</t>
  </si>
  <si>
    <t>9785378354610</t>
  </si>
  <si>
    <t>CЕРИЯ: КНИЖКИ НА КАРТОНЕ ЦК 8 разворотов 195х195</t>
  </si>
  <si>
    <t>271663</t>
  </si>
  <si>
    <t>ЦК 8 разворотов 195х195. АТЛАС МИРА</t>
  </si>
  <si>
    <t>978-5-378-36022-2</t>
  </si>
  <si>
    <t>Для чего нужен скелет? Кто изобрёл автомобиль и велосипед? Что особенного в разных материках нашей планеты? Откуда в кране вода, а в лампочке – свет? Ответы на эти и многие другие вопросы дадут книги новой серии. Они помогут родителям просто и коротко рассказать о сложных вещах и понятиях. Яркие иллюстрации увлекут малышей, а плотный картон позволит перелистывать страницы снова и снова, не боясь их порвать.</t>
  </si>
  <si>
    <t>9785378360222</t>
  </si>
  <si>
    <t>364ff26be94d09beae62b1ec0cf120ac</t>
  </si>
  <si>
    <t>193х194х8</t>
  </si>
  <si>
    <t>271657</t>
  </si>
  <si>
    <t>ЦК 8 разворотов 195х195. ОТКУДА В ДОМЕ БЕРЕТСЯ?..</t>
  </si>
  <si>
    <t>978-5-378-36019-2</t>
  </si>
  <si>
    <t>9785378360192</t>
  </si>
  <si>
    <t>fec2640c255bd587fee76fbde0d5cb6e</t>
  </si>
  <si>
    <t>271659</t>
  </si>
  <si>
    <t>ЦК 8 разворотов 195х195. ТЕЛО ЧЕЛОВЕКА</t>
  </si>
  <si>
    <t>978-5-378-36020-8</t>
  </si>
  <si>
    <t>9785378360208</t>
  </si>
  <si>
    <t>a2cda173c34f6b66afc2ba6d1cfc9e25</t>
  </si>
  <si>
    <t>271662</t>
  </si>
  <si>
    <t>ЦК 8 разворотов 195х195. ТРАНСПОРТ. ВСЁ, ЧТО ЕДЕТ, ЛЕТИТ, ПЛЫВЁТ</t>
  </si>
  <si>
    <t>978-5-378-36021-5</t>
  </si>
  <si>
    <t>9785378360215</t>
  </si>
  <si>
    <t>8dbb434545a4feb2d72fcada3d710be3</t>
  </si>
  <si>
    <t>CЕРИЯ: ЦК "КВАДРАТНЫЕ КНИГИ" 5 разворотов, глянц.ламин 180х180</t>
  </si>
  <si>
    <t>267376</t>
  </si>
  <si>
    <t>ЦК. КВАДРАТНЫЕ КНИГИ 180х180. КТО КАК ГОВОРИТ?</t>
  </si>
  <si>
    <t>978-5-378-35934-9</t>
  </si>
  <si>
    <t>Представляем новую серию ярких картонных книжек для самых маленьких читателей. Благодаря этой серии книг ваш малыш научится различать звуки животных, узнает как зовут животных-мам и их детенышей, познакомится с режимом дня и научится самостоятельно ходить на горшок! Плотный картон и закруглённые уголки обеспечат долговечность книг и безопасность вашему малышу, а красочные картинки и милые герои точно вызовут у ребенка улыбку и восторг. Эти книжки точно станут фаворитами в библиотеке вашего малыша и помогут привить ему любовь и интерес к чтению!</t>
  </si>
  <si>
    <t>9785378359349</t>
  </si>
  <si>
    <t>Купырина Анна Михайловна,Строителева Анна Владимировна</t>
  </si>
  <si>
    <t>7b847eb9f65923a80621187c046b32dd</t>
  </si>
  <si>
    <t>178х178х6</t>
  </si>
  <si>
    <t>267378</t>
  </si>
  <si>
    <t>ЦК. КВАДРАТНЫЕ КНИГИ 180х180. МАМЫ И МАЛЫШИ</t>
  </si>
  <si>
    <t>978-5-378-35936-3</t>
  </si>
  <si>
    <t>9785378359363</t>
  </si>
  <si>
    <t xml:space="preserve">Купырина Анна Михайловна,Строителева Анна Владимировна,Красилёва Ольга </t>
  </si>
  <si>
    <t>6a038bd6c123a3ecc5520c77b6d19440</t>
  </si>
  <si>
    <t>267375</t>
  </si>
  <si>
    <t>ЦК. КВАДРАТНЫЕ КНИГИ 180х180. РЕЖИМ ДНЯ</t>
  </si>
  <si>
    <t>978-5-378-35935-6</t>
  </si>
  <si>
    <t>9785378359356</t>
  </si>
  <si>
    <t>db3640a268303bafd63ff241a11a5678</t>
  </si>
  <si>
    <t>267373</t>
  </si>
  <si>
    <t>ЦК. КВАДРАТНЫЕ КНИГИ 180х180. СКОРЕЕ НА ГОРШОК!</t>
  </si>
  <si>
    <t>978-5-378-35933-2</t>
  </si>
  <si>
    <t>9785378359332</t>
  </si>
  <si>
    <t>6169d410f644ae880b9d11b2be5918b3</t>
  </si>
  <si>
    <t>CЕРИЯ: ЦК "ФОТОКНИГА ДЛЯ МАЛЫШЕЙ" 5 разворотов, круг.углы 160х220</t>
  </si>
  <si>
    <t>249492</t>
  </si>
  <si>
    <t>ЦК. ФОТОКНИГА ДЛЯ МАЛЫШЕЙ. ЖИВОТНЫЕ</t>
  </si>
  <si>
    <t>978-5-378-35486-3</t>
  </si>
  <si>
    <t>Новая серия книг на картоне "Фотокнига для малышей" увлечет ребенка надолго и поможет в игровой форме запомнить много новых слов. На каждом развороте малыш будет знакомиться с новыми словами и предметами, сможет играть в "найди и покажи", отыскивая и считая заданные предметы, отвечать на вопросы, выучит счёт и цвета. Занятия с книгой будут способствовать расширению кругозора и развитию речи. В серию входят "Транспорт", "Счёт", "Животные", "Цвета".</t>
  </si>
  <si>
    <t>9785378354863</t>
  </si>
  <si>
    <t>39417f4583f085ccd0ee4440ecf0d2cd</t>
  </si>
  <si>
    <t>160х220х5</t>
  </si>
  <si>
    <t>249491</t>
  </si>
  <si>
    <t>ЦК. ФОТОКНИГА ДЛЯ МАЛЫШЕЙ. ИЗУЧАЕМ ЦВЕТА</t>
  </si>
  <si>
    <t>978-5-378-35485-6</t>
  </si>
  <si>
    <t>9785378354856</t>
  </si>
  <si>
    <t>5ccb5438958492cf893c7a05f05b14f8</t>
  </si>
  <si>
    <t>249495</t>
  </si>
  <si>
    <t>ЦК. ФОТОКНИГА ДЛЯ МАЛЫШЕЙ. СЧЁТ</t>
  </si>
  <si>
    <t>978-5-378-35488-7</t>
  </si>
  <si>
    <t>9785378354887</t>
  </si>
  <si>
    <t>adcc6def561cd9f81a46c8eab71f68ca</t>
  </si>
  <si>
    <t>249493</t>
  </si>
  <si>
    <t>ЦК. ФОТОКНИГА ДЛЯ МАЛЫШЕЙ. ТРАНСПОРТ</t>
  </si>
  <si>
    <t>978-5-378-35487-0</t>
  </si>
  <si>
    <t>9785378354870</t>
  </si>
  <si>
    <t>451b84939085dbce8e8e14255989c772</t>
  </si>
  <si>
    <t>КНИГИ НА КАРТОНЕ МАКСИ 235х315  7 разворотов</t>
  </si>
  <si>
    <t>091804</t>
  </si>
  <si>
    <t>книги на картоне МАКСИ 235х310  7 разворотов. Путешествие во времени</t>
  </si>
  <si>
    <t>978-5-378-28783-3</t>
  </si>
  <si>
    <t>Предлагаем отправиться в захватывающее путешествие в прошлое! И для этого тебе не понадобится машина времени. Просто открой книгу и ты побываешь в Древнем Египте, Древнем Китае, Древнем Риме и даже сможешь увидеть первобытных людей! Разглядывать яркие забавные картинки с множеством деталей понравится не только детям, но и взрослым. Сможешь ли ты найти все ошибки истории? Проверь свою внимательность! Приятного путешествия!</t>
  </si>
  <si>
    <t>9785378287833</t>
  </si>
  <si>
    <t>235x310x10</t>
  </si>
  <si>
    <t>171680</t>
  </si>
  <si>
    <t>книги на картоне МАКСИ 235х315  7 разворотов. Волшебные истории. Виммельбух для девочек</t>
  </si>
  <si>
    <t>978-5-378-32277-0</t>
  </si>
  <si>
    <t>Вместе с этими книжками вы отправитесь в увлекательное приключение в мир динозавров, сможете побывать в стране единорогов и русалок, а также познакомиться с необычными животными. Разглядывать яркие забавные картинки с множеством деталей понравится не только детям, но и взрослым. Сможете ли вы найти все спрятанные предметы и отгадать все загадки? Открывайте книгу - и давайте проверим, насколько вы внимательны!</t>
  </si>
  <si>
    <t>9785378322770</t>
  </si>
  <si>
    <t>СЕРИЯ: КНИЖКИ С ОКОШКАМИ глянц. ламин</t>
  </si>
  <si>
    <t>236306</t>
  </si>
  <si>
    <t>КНИЖКА С ОКОШКАМИ 235х315. МОЯ ПЕРВАЯ ЭНЦИКЛОПЕДИЯ</t>
  </si>
  <si>
    <t>978-5-378-34934-0</t>
  </si>
  <si>
    <t>Знаешь ли ты, детёныши каких животных любят молоко? Зачем человеку нужен скелет? Почему идёт дождь? В этой книге ты найдёшь ответы на эти и многие другие вопросы! Открывай её и отправляйся в увлекательное путешествие в мир знаний! Только не забудь заглянуть в окошки – там много интересного!</t>
  </si>
  <si>
    <t>9785378349340</t>
  </si>
  <si>
    <t>c79268767f665d040895cd962ccf3e07</t>
  </si>
  <si>
    <t>11.09.2024 0:00:00</t>
  </si>
  <si>
    <t>235х315х10</t>
  </si>
  <si>
    <t>178986</t>
  </si>
  <si>
    <t>КНИЖКА С ОКОШКАМИ ДЛЯ МАЛЫШЕЙ 160х190. ФЕРМА</t>
  </si>
  <si>
    <t>978-5-378-33075-1</t>
  </si>
  <si>
    <t>Новая серия книжек с окошками создана с любовью для малышей! На страницах с красочными иллюстрациями ребёнка ждут весёлые стишки, задания и, конечно, окошки, в которые обязательно надо заглянуть! Страницы из плотного картона очень удобно переворачивать, книга будет долго радовать малышей, так и их родителей!</t>
  </si>
  <si>
    <t>9785378330751</t>
  </si>
  <si>
    <t>3e63f21515ec94c55574f3b19ea5f504</t>
  </si>
  <si>
    <t>160х190х8</t>
  </si>
  <si>
    <t>178989</t>
  </si>
  <si>
    <t>КНИЖКА С ОКОШКАМИ ДЛЯ МАЛЫШЕЙ 160х190. ЦВЕТА И ФОРМЫ</t>
  </si>
  <si>
    <t>978-5-378-33077-5</t>
  </si>
  <si>
    <t>9785378330775</t>
  </si>
  <si>
    <t>43d0c48befa8bf0ebd09a0a999019dc4</t>
  </si>
  <si>
    <t>СЕРИЯ: КНИЖКИ-МАЛЫШКИ С ОКОШКАМИ глянц. ламин 120х120</t>
  </si>
  <si>
    <t>221862</t>
  </si>
  <si>
    <t>КНИЖКА-МАЛЫШКА С ОКОШКАМИ. Счёт от 1 до 5</t>
  </si>
  <si>
    <t>978-5-378-34610-3</t>
  </si>
  <si>
    <t>Новая серия книжек с окошками про животных, счёт и формы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</si>
  <si>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9785378346103</t>
  </si>
  <si>
    <t>120х120х6</t>
  </si>
  <si>
    <t>204812</t>
  </si>
  <si>
    <t>КНИЖКА-МАЛЫШКА С ОКОШКАМИ. Угадай, кто это?</t>
  </si>
  <si>
    <t>9-785-378-34267-9</t>
  </si>
  <si>
    <t>Новая серия книжек с окошками про животных, цвета и транспорт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</si>
  <si>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9785378342679</t>
  </si>
  <si>
    <t>221863</t>
  </si>
  <si>
    <t>КНИЖКА-МАЛЫШКА С ОКОШКАМИ. Формы</t>
  </si>
  <si>
    <t>978-5-378-34611-0</t>
  </si>
  <si>
    <t>9785378346110</t>
  </si>
  <si>
    <t>221864</t>
  </si>
  <si>
    <t>КНИЖКА-МАЛЫШКА С ОКОШКАМИ. Чей это домик?</t>
  </si>
  <si>
    <t>978-5-378-34612-7</t>
  </si>
  <si>
    <t>9785378346127</t>
  </si>
  <si>
    <t>С ЧАСИКАМИ</t>
  </si>
  <si>
    <t>СЕРИЯ: ВЫРУБКИ НА КАРТОНЕ С ЧАСИКАМИ гл. ламин. 157х215</t>
  </si>
  <si>
    <t>017315</t>
  </si>
  <si>
    <t>ВЫРУБКА С ЧАСАМИ. МОЙ ДЕНЬ</t>
  </si>
  <si>
    <t>978-5-378-02934-1</t>
  </si>
  <si>
    <t>Книги из этой серии помогут малышу с лёгкостью научиться определять время по часам. Обучение не будет навязчивым, ведь оно сопровождается яркими иллюстрациями и весёлыми стихотворениями. Эти познавательные книги имеют красочный циферблат с двигающимися стрелками. Ребёнок без труда поймёт, как определять время и совсем скоро начнёт делать это самостоятельно. Малыш будет в восторге от такой волшебной книжки!</t>
  </si>
  <si>
    <t>9785378029341</t>
  </si>
  <si>
    <t>Степанов Владимир Александрович</t>
  </si>
  <si>
    <t>Книги на картоне с часиками</t>
  </si>
  <si>
    <t>157x215x6</t>
  </si>
  <si>
    <t>СЕРИЯ: ВЫРУБКИ НА КАРТОНЕ С ЧАСИКАМИ И ГЛАЗКАМИ гл. ламин. 160х220</t>
  </si>
  <si>
    <t>121662</t>
  </si>
  <si>
    <t>ВЫРУБКА С ЧАСИКАМИ И ГЛАЗКАМИ. В ГОСТЯХ У БАБУШКИ</t>
  </si>
  <si>
    <t>978-5-378-29720-7</t>
  </si>
  <si>
    <t>"Часики с глазками" - это познавательные книжки, с помощью которых ваш малыш научится: -определять время, -узнает, что показывает длинная стрелка, а что-короткая, -сам сможет выставлять время на ярком циферблате.</t>
  </si>
  <si>
    <t>9785378297207</t>
  </si>
  <si>
    <t>153x220x6</t>
  </si>
  <si>
    <t>91. ОНИКС</t>
  </si>
  <si>
    <t>117732</t>
  </si>
  <si>
    <t>ОНИКС. Вундеркидз. Вилвудская академия</t>
  </si>
  <si>
    <t>978-5-4451-0618-0</t>
  </si>
  <si>
    <t xml:space="preserve">Если вам 15 лет и вас приглашают совершенно бесплатно учиться в таинственной академии, о которой никто не слышал и у которой даже нет веб-сайта, то можно не сомневаться - приключения уже рядом. 
Новая школа оказывается роскошной, уютной и... очень странной. У юной Ники появляются новые подруги, друзья, она с энтузиазмом посещает не совсем обычные уроки. Вилдвудская академия расположена в очень романтичном месте, будто специально созданном для того, чтобы влюбляться. И, конечно, сердце юной девушки недолго остается свободным. Но кого же ей предпочесть? Ироничного, избалованного вниманием Зака или доброго, верного Тристана?
А вскоре выясняется, что любовный треугольник - лишь верхушка айсберга из тех проблем, с которыми предстоит разобраться Нике. Респектабельная Вилдвудская академия оказывается совсем не тем учебным заведением, каким хочет казаться. </t>
  </si>
  <si>
    <t>9785445106180</t>
  </si>
  <si>
    <t>Ж.Сильвестр</t>
  </si>
  <si>
    <t>130х205х25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</si>
</sst>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
    <numFmt numFmtId="166" formatCode="0.0000"/>
    <numFmt numFmtId="167" formatCode="0.0"/>
  </numFmts>
  <fonts count="14" x14ac:knownFonts="1">
    <font>
      <sz val="8"/>
      <name val="Arial"/>
      <family val="2"/>
      <charset val="204"/>
    </font>
    <font>
      <sz val="10"/>
      <name val="Arial"/>
      <family val="2"/>
      <charset val="204"/>
    </font>
    <font>
      <b/>
      <sz val="12"/>
      <name val="Arial"/>
      <family val="2"/>
      <charset val="204"/>
    </font>
    <font>
      <sz val="11"/>
      <name val="Arial"/>
      <family val="2"/>
      <charset val="204"/>
    </font>
    <font>
      <sz val="9"/>
      <name val="Arial"/>
      <family val="2"/>
      <charset val="204"/>
    </font>
    <font>
      <b/>
      <sz val="9"/>
      <name val="Arial"/>
      <family val="2"/>
      <charset val="204"/>
    </font>
    <font>
      <b/>
      <sz val="8"/>
      <name val="Arial"/>
      <family val="2"/>
      <charset val="204"/>
    </font>
    <font>
      <b/>
      <u/>
      <sz val="12"/>
      <color indexed="12"/>
      <name val="Arial"/>
      <family val="2"/>
      <charset val="204"/>
    </font>
    <font>
      <b/>
      <sz val="12"/>
      <color indexed="12"/>
      <name val="Arial"/>
      <family val="2"/>
      <charset val="204"/>
    </font>
    <font>
      <b/>
      <i/>
      <u/>
      <sz val="9"/>
      <color indexed="8"/>
      <name val="Arial"/>
      <family val="2"/>
      <charset val="204"/>
    </font>
    <font>
      <b/>
      <i/>
      <sz val="9"/>
      <color indexed="8"/>
      <name val="Arial"/>
      <family val="2"/>
      <charset val="204"/>
    </font>
    <font>
      <b/>
      <sz val="10"/>
      <name val="Arial"/>
      <family val="2"/>
      <charset val="204"/>
    </font>
    <font>
      <b/>
      <sz val="8"/>
      <color indexed="10"/>
      <name val="Arial"/>
      <family val="2"/>
      <charset val="204"/>
    </font>
    <font>
      <sz val="8"/>
      <color indexed="8"/>
      <name val="Arial"/>
      <family val="2"/>
      <charset val="204"/>
    </font>
  </fonts>
  <fills count="5">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applyNumberFormat="1" applyFont="1" applyFill="1" applyBorder="1" applyAlignment="1" applyProtection="1"/>
    <xf numFmtId="0" fontId="2" fillId="0" borderId="0" xfId="0" applyNumberFormat="1" applyFont="1" applyAlignment="1">
      <alignment vertical="top" wrapText="1"/>
    </xf>
    <xf numFmtId="0" fontId="4" fillId="0" borderId="0" xfId="0" applyNumberFormat="1" applyFont="1" applyAlignment="1">
      <alignment horizontal="right" vertical="top"/>
    </xf>
    <xf numFmtId="0" fontId="5" fillId="0" borderId="0" xfId="0" applyNumberFormat="1" applyFont="1" applyAlignment="1">
      <alignment vertical="top" wrapText="1"/>
    </xf>
    <xf numFmtId="1" fontId="0" fillId="0" borderId="6" xfId="0" applyNumberFormat="1" applyFont="1" applyBorder="1" applyAlignment="1">
      <alignment horizontal="right" vertical="top"/>
    </xf>
    <xf numFmtId="0" fontId="0" fillId="0" borderId="7" xfId="0" applyNumberFormat="1" applyFont="1" applyBorder="1" applyAlignment="1">
      <alignment vertical="top" wrapText="1"/>
    </xf>
    <xf numFmtId="0" fontId="0" fillId="0" borderId="7" xfId="0" applyNumberFormat="1" applyFont="1" applyBorder="1" applyAlignment="1">
      <alignment vertical="top"/>
    </xf>
    <xf numFmtId="1" fontId="0" fillId="4" borderId="6" xfId="0" applyNumberFormat="1" applyFont="1" applyFill="1" applyBorder="1" applyAlignment="1">
      <alignment horizontal="right" vertical="top"/>
    </xf>
    <xf numFmtId="0" fontId="0" fillId="4" borderId="7" xfId="0" applyNumberFormat="1" applyFont="1" applyFill="1" applyBorder="1" applyAlignment="1">
      <alignment vertical="top" wrapText="1"/>
    </xf>
    <xf numFmtId="0" fontId="0" fillId="4" borderId="7" xfId="0" applyNumberFormat="1" applyFont="1" applyFill="1" applyBorder="1" applyAlignment="1">
      <alignment vertical="top"/>
    </xf>
    <xf numFmtId="0" fontId="12" fillId="0" borderId="7" xfId="0" applyNumberFormat="1" applyFont="1" applyBorder="1" applyAlignment="1">
      <alignment horizontal="center" vertical="top"/>
    </xf>
    <xf numFmtId="0" fontId="0" fillId="0" borderId="7" xfId="0" applyNumberFormat="1" applyFont="1" applyBorder="1" applyAlignment="1">
      <alignment horizontal="left" vertical="top" wrapText="1"/>
    </xf>
    <xf numFmtId="1" fontId="0" fillId="0" borderId="7" xfId="0" applyNumberFormat="1" applyFont="1" applyBorder="1" applyAlignment="1">
      <alignment horizontal="right" vertical="top"/>
    </xf>
    <xf numFmtId="0" fontId="0" fillId="0" borderId="7" xfId="0" applyNumberFormat="1" applyFont="1" applyBorder="1" applyAlignment="1">
      <alignment horizontal="right" vertical="top"/>
    </xf>
    <xf numFmtId="2" fontId="13" fillId="0" borderId="7" xfId="0" applyNumberFormat="1" applyFont="1" applyBorder="1" applyAlignment="1">
      <alignment horizontal="right" vertical="top"/>
    </xf>
    <xf numFmtId="0" fontId="0" fillId="2" borderId="7" xfId="0" applyNumberFormat="1" applyFont="1" applyFill="1" applyBorder="1" applyAlignment="1" applyProtection="1">
      <alignment horizontal="right" vertical="top"/>
      <protection locked="0"/>
    </xf>
    <xf numFmtId="0" fontId="12" fillId="4" borderId="7" xfId="0" applyNumberFormat="1" applyFont="1" applyFill="1" applyBorder="1" applyAlignment="1">
      <alignment horizontal="center" vertical="top"/>
    </xf>
    <xf numFmtId="0" fontId="0" fillId="4" borderId="7" xfId="0" applyNumberFormat="1" applyFont="1" applyFill="1" applyBorder="1" applyAlignment="1">
      <alignment horizontal="left" vertical="top" wrapText="1"/>
    </xf>
    <xf numFmtId="1" fontId="0" fillId="4" borderId="7" xfId="0" applyNumberFormat="1" applyFont="1" applyFill="1" applyBorder="1" applyAlignment="1">
      <alignment horizontal="right" vertical="top"/>
    </xf>
    <xf numFmtId="0" fontId="0" fillId="4" borderId="7" xfId="0" applyNumberFormat="1" applyFont="1" applyFill="1" applyBorder="1" applyAlignment="1">
      <alignment horizontal="right" vertical="top"/>
    </xf>
    <xf numFmtId="4" fontId="13" fillId="4" borderId="7" xfId="0" applyNumberFormat="1" applyFont="1" applyFill="1" applyBorder="1" applyAlignment="1">
      <alignment horizontal="right" vertical="top"/>
    </xf>
    <xf numFmtId="2" fontId="13" fillId="4" borderId="7" xfId="0" applyNumberFormat="1" applyFont="1" applyFill="1" applyBorder="1" applyAlignment="1">
      <alignment horizontal="right" vertical="top"/>
    </xf>
    <xf numFmtId="164" fontId="0" fillId="0" borderId="7" xfId="0" applyNumberFormat="1" applyFont="1" applyBorder="1" applyAlignment="1">
      <alignment horizontal="right" vertical="top"/>
    </xf>
    <xf numFmtId="165" fontId="0" fillId="0" borderId="7" xfId="0" applyNumberFormat="1" applyFont="1" applyBorder="1" applyAlignment="1">
      <alignment horizontal="right" vertical="top"/>
    </xf>
    <xf numFmtId="0" fontId="12" fillId="0" borderId="7" xfId="0" applyNumberFormat="1" applyFont="1" applyBorder="1" applyAlignment="1">
      <alignment horizontal="right" vertical="top"/>
    </xf>
    <xf numFmtId="0" fontId="0" fillId="0" borderId="7" xfId="0" applyNumberFormat="1" applyFont="1" applyBorder="1" applyAlignment="1">
      <alignment horizontal="left" vertical="top"/>
    </xf>
    <xf numFmtId="164" fontId="0" fillId="4" borderId="7" xfId="0" applyNumberFormat="1" applyFont="1" applyFill="1" applyBorder="1" applyAlignment="1">
      <alignment horizontal="right" vertical="top"/>
    </xf>
    <xf numFmtId="165" fontId="0" fillId="4" borderId="7" xfId="0" applyNumberFormat="1" applyFont="1" applyFill="1" applyBorder="1" applyAlignment="1">
      <alignment horizontal="right" vertical="top"/>
    </xf>
    <xf numFmtId="0" fontId="12" fillId="4" borderId="7" xfId="0" applyNumberFormat="1" applyFont="1" applyFill="1" applyBorder="1" applyAlignment="1">
      <alignment horizontal="right" vertical="top"/>
    </xf>
    <xf numFmtId="0" fontId="0" fillId="4" borderId="7" xfId="0" applyNumberFormat="1" applyFont="1" applyFill="1" applyBorder="1" applyAlignment="1">
      <alignment horizontal="left" vertical="top"/>
    </xf>
    <xf numFmtId="166" fontId="0" fillId="0" borderId="7" xfId="0" applyNumberFormat="1" applyFont="1" applyBorder="1" applyAlignment="1">
      <alignment horizontal="right" vertical="top"/>
    </xf>
    <xf numFmtId="166" fontId="0" fillId="4" borderId="7" xfId="0" applyNumberFormat="1" applyFont="1" applyFill="1" applyBorder="1" applyAlignment="1">
      <alignment horizontal="right" vertical="top"/>
    </xf>
    <xf numFmtId="2" fontId="0" fillId="0" borderId="7" xfId="0" applyNumberFormat="1" applyFont="1" applyBorder="1" applyAlignment="1">
      <alignment horizontal="right" vertical="top"/>
    </xf>
    <xf numFmtId="1" fontId="0" fillId="0" borderId="7" xfId="0" applyNumberFormat="1" applyFont="1" applyBorder="1" applyAlignment="1">
      <alignment horizontal="right" vertical="top" wrapText="1"/>
    </xf>
    <xf numFmtId="1" fontId="0" fillId="4" borderId="7" xfId="0" applyNumberFormat="1" applyFont="1" applyFill="1" applyBorder="1" applyAlignment="1">
      <alignment horizontal="right" vertical="top" wrapText="1"/>
    </xf>
    <xf numFmtId="4" fontId="13" fillId="0" borderId="7" xfId="0" applyNumberFormat="1" applyFont="1" applyBorder="1" applyAlignment="1">
      <alignment horizontal="right" vertical="top"/>
    </xf>
    <xf numFmtId="167" fontId="0" fillId="0" borderId="7" xfId="0" applyNumberFormat="1" applyFont="1" applyBorder="1" applyAlignment="1">
      <alignment horizontal="right" vertical="top"/>
    </xf>
    <xf numFmtId="3" fontId="0" fillId="0" borderId="7" xfId="0" applyNumberFormat="1" applyFont="1" applyBorder="1" applyAlignment="1">
      <alignment horizontal="right" vertical="top"/>
    </xf>
    <xf numFmtId="2" fontId="0" fillId="4" borderId="7" xfId="0" applyNumberFormat="1" applyFont="1" applyFill="1" applyBorder="1" applyAlignment="1">
      <alignment horizontal="right" vertical="top"/>
    </xf>
    <xf numFmtId="1" fontId="0" fillId="3" borderId="6" xfId="0" applyNumberFormat="1" applyFont="1" applyFill="1" applyBorder="1" applyAlignment="1">
      <alignment horizontal="right" vertical="top"/>
    </xf>
    <xf numFmtId="0" fontId="0" fillId="3" borderId="7" xfId="0" applyNumberFormat="1" applyFont="1" applyFill="1" applyBorder="1" applyAlignment="1">
      <alignment vertical="top" wrapText="1"/>
    </xf>
    <xf numFmtId="0" fontId="0" fillId="3" borderId="7" xfId="0" applyNumberFormat="1" applyFont="1" applyFill="1" applyBorder="1" applyAlignment="1">
      <alignment vertical="top"/>
    </xf>
    <xf numFmtId="3" fontId="0" fillId="0" borderId="6" xfId="0" applyNumberFormat="1" applyFont="1" applyBorder="1" applyAlignment="1">
      <alignment horizontal="right" vertical="top"/>
    </xf>
    <xf numFmtId="3" fontId="0" fillId="4" borderId="6" xfId="0" applyNumberFormat="1" applyFont="1" applyFill="1" applyBorder="1" applyAlignment="1">
      <alignment horizontal="right" vertical="top"/>
    </xf>
    <xf numFmtId="0" fontId="12" fillId="3" borderId="7" xfId="0" applyNumberFormat="1" applyFont="1" applyFill="1" applyBorder="1" applyAlignment="1">
      <alignment horizontal="center" vertical="top"/>
    </xf>
    <xf numFmtId="0" fontId="0" fillId="3" borderId="7" xfId="0" applyNumberFormat="1" applyFont="1" applyFill="1" applyBorder="1" applyAlignment="1">
      <alignment horizontal="left" vertical="top" wrapText="1"/>
    </xf>
    <xf numFmtId="1" fontId="0" fillId="3" borderId="7" xfId="0" applyNumberFormat="1" applyFont="1" applyFill="1" applyBorder="1" applyAlignment="1">
      <alignment horizontal="right" vertical="top"/>
    </xf>
    <xf numFmtId="0" fontId="0" fillId="3" borderId="7" xfId="0" applyNumberFormat="1" applyFont="1" applyFill="1" applyBorder="1" applyAlignment="1">
      <alignment horizontal="right" vertical="top"/>
    </xf>
    <xf numFmtId="167" fontId="13" fillId="3" borderId="7" xfId="0" applyNumberFormat="1" applyFont="1" applyFill="1" applyBorder="1" applyAlignment="1">
      <alignment horizontal="right" vertical="top"/>
    </xf>
    <xf numFmtId="2" fontId="0" fillId="3" borderId="7" xfId="0" applyNumberFormat="1" applyFont="1" applyFill="1" applyBorder="1" applyAlignment="1">
      <alignment horizontal="right" vertical="top"/>
    </xf>
    <xf numFmtId="165" fontId="0" fillId="3" borderId="7" xfId="0" applyNumberFormat="1" applyFont="1" applyFill="1" applyBorder="1" applyAlignment="1">
      <alignment horizontal="right" vertical="top"/>
    </xf>
    <xf numFmtId="0" fontId="12" fillId="3" borderId="7" xfId="0" applyNumberFormat="1" applyFont="1" applyFill="1" applyBorder="1" applyAlignment="1">
      <alignment horizontal="right" vertical="top"/>
    </xf>
    <xf numFmtId="0" fontId="0" fillId="3" borderId="7" xfId="0" applyNumberFormat="1" applyFont="1" applyFill="1" applyBorder="1" applyAlignment="1">
      <alignment horizontal="left" vertical="top"/>
    </xf>
    <xf numFmtId="1" fontId="0" fillId="3" borderId="7" xfId="0" applyNumberFormat="1" applyFont="1" applyFill="1" applyBorder="1" applyAlignment="1">
      <alignment horizontal="right" vertical="top" wrapText="1"/>
    </xf>
    <xf numFmtId="0" fontId="12" fillId="3" borderId="0" xfId="0" applyNumberFormat="1" applyFont="1" applyFill="1" applyAlignment="1">
      <alignment vertical="top"/>
    </xf>
    <xf numFmtId="0" fontId="0" fillId="4" borderId="0" xfId="0" applyNumberFormat="1" applyFill="1"/>
    <xf numFmtId="3" fontId="0" fillId="3" borderId="6" xfId="0" applyNumberFormat="1" applyFont="1" applyFill="1" applyBorder="1" applyAlignment="1">
      <alignment horizontal="right" vertical="top"/>
    </xf>
    <xf numFmtId="2" fontId="13" fillId="3" borderId="7" xfId="0" applyNumberFormat="1" applyFont="1" applyFill="1" applyBorder="1" applyAlignment="1">
      <alignment horizontal="right" vertical="top"/>
    </xf>
    <xf numFmtId="164" fontId="0" fillId="3" borderId="7" xfId="0" applyNumberFormat="1" applyFont="1" applyFill="1" applyBorder="1" applyAlignment="1">
      <alignment horizontal="right" vertical="top"/>
    </xf>
    <xf numFmtId="166" fontId="0" fillId="3" borderId="7" xfId="0" applyNumberFormat="1" applyFont="1" applyFill="1" applyBorder="1" applyAlignment="1">
      <alignment horizontal="right" vertical="top"/>
    </xf>
    <xf numFmtId="167" fontId="0" fillId="4" borderId="7" xfId="0" applyNumberFormat="1" applyFont="1" applyFill="1" applyBorder="1" applyAlignment="1">
      <alignment horizontal="right" vertical="top"/>
    </xf>
    <xf numFmtId="0" fontId="6" fillId="4" borderId="1"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4" xfId="0" applyNumberFormat="1" applyFont="1" applyFill="1" applyBorder="1" applyAlignment="1">
      <alignment horizontal="center" vertical="center"/>
    </xf>
    <xf numFmtId="0" fontId="6" fillId="4" borderId="1" xfId="0" applyNumberFormat="1" applyFont="1" applyFill="1" applyBorder="1" applyAlignment="1">
      <alignment horizontal="center" vertical="center"/>
    </xf>
    <xf numFmtId="0" fontId="6" fillId="4" borderId="3" xfId="0" applyNumberFormat="1" applyFont="1" applyFill="1" applyBorder="1" applyAlignment="1">
      <alignment horizontal="center" vertical="center"/>
    </xf>
    <xf numFmtId="0" fontId="6" fillId="4" borderId="1"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8" fillId="0" borderId="0" xfId="0" applyNumberFormat="1" applyFont="1" applyAlignment="1">
      <alignment vertical="center" wrapText="1" indent="2"/>
    </xf>
    <xf numFmtId="0" fontId="9" fillId="0" borderId="0" xfId="0" applyNumberFormat="1" applyFont="1" applyAlignment="1">
      <alignment vertical="center" wrapText="1" indent="4"/>
    </xf>
    <xf numFmtId="0" fontId="10" fillId="0" borderId="0" xfId="0" applyNumberFormat="1" applyFont="1" applyAlignment="1">
      <alignment vertical="center" wrapText="1" indent="6"/>
    </xf>
    <xf numFmtId="0" fontId="10" fillId="0" borderId="0" xfId="0" applyNumberFormat="1" applyFont="1" applyAlignment="1">
      <alignment vertical="center" wrapText="1" indent="8"/>
    </xf>
    <xf numFmtId="0" fontId="10" fillId="0" borderId="0" xfId="0" applyNumberFormat="1" applyFont="1" applyAlignment="1">
      <alignment vertical="center" wrapText="1" indent="10"/>
    </xf>
    <xf numFmtId="0" fontId="7" fillId="0" borderId="0" xfId="0" applyNumberFormat="1" applyFont="1" applyAlignment="1">
      <alignment vertical="center" wrapText="1"/>
    </xf>
    <xf numFmtId="0" fontId="4" fillId="0" borderId="0" xfId="0" applyNumberFormat="1" applyFont="1" applyAlignment="1">
      <alignment horizontal="right" vertical="top"/>
    </xf>
    <xf numFmtId="0" fontId="1" fillId="0" borderId="0" xfId="0" applyNumberFormat="1" applyFont="1" applyAlignment="1">
      <alignment vertical="top"/>
    </xf>
    <xf numFmtId="0" fontId="11" fillId="0" borderId="0" xfId="0" applyNumberFormat="1" applyFont="1" applyAlignment="1">
      <alignment horizontal="center" vertical="center"/>
    </xf>
    <xf numFmtId="0" fontId="3" fillId="0" borderId="0" xfId="0" applyNumberFormat="1" applyFont="1" applyAlignment="1">
      <alignment vertical="top"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0FFF0"/>
      <rgbColor rgb="00993366"/>
      <rgbColor rgb="00FFA07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B1:AI2799"/>
  <sheetViews>
    <sheetView tabSelected="1" workbookViewId="0">
      <selection activeCell="B8" sqref="B8:C8"/>
    </sheetView>
  </sheetViews>
  <sheetFormatPr defaultColWidth="10.42578125" defaultRowHeight="10.199999999999999" outlineLevelRow="6" x14ac:dyDescent="0.2"/>
  <cols>
    <col min="1" max="1" width="5.42578125" bestFit="1" customWidth="1"/>
    <col min="2" max="2" width="7.85546875" bestFit="1" customWidth="1"/>
    <col min="3" max="3" width="12.140625" bestFit="1" customWidth="1"/>
    <col min="4" max="4" width="54.42578125" customWidth="1"/>
    <col min="5" max="6" width="15.140625" bestFit="1" customWidth="1"/>
    <col min="7" max="7" width="21.28515625" bestFit="1" customWidth="1"/>
    <col min="8" max="8" width="11.7109375" bestFit="1" customWidth="1"/>
    <col min="9" max="9" width="11.5703125" customWidth="1"/>
    <col min="10" max="10" width="11.5703125" hidden="1" customWidth="1"/>
    <col min="11" max="11" width="16.28515625" hidden="1" customWidth="1"/>
    <col min="12" max="12" width="16.42578125" bestFit="1" customWidth="1"/>
    <col min="13" max="14" width="11.7109375" bestFit="1" customWidth="1"/>
    <col min="15" max="15" width="13.7109375" bestFit="1" customWidth="1"/>
    <col min="19" max="19" width="19.85546875" bestFit="1" customWidth="1"/>
    <col min="21" max="34" width="13.42578125" bestFit="1" customWidth="1"/>
    <col min="35" max="35" width="22.28515625" bestFit="1" customWidth="1"/>
  </cols>
  <sheetData>
    <row r="1" spans="2:34" ht="11.25" customHeight="1" x14ac:dyDescent="0.2"/>
    <row r="2" spans="2:34" ht="24" customHeight="1" x14ac:dyDescent="0.2"/>
    <row r="3" spans="2:34" ht="15.75" customHeight="1" x14ac:dyDescent="0.2">
      <c r="B3" s="79" t="s">
        <v>0</v>
      </c>
      <c r="C3" s="79"/>
      <c r="D3" s="1" t="s">
        <v>1</v>
      </c>
      <c r="N3" s="80"/>
      <c r="O3" s="80"/>
    </row>
    <row r="4" spans="2:34" ht="15" customHeight="1" x14ac:dyDescent="0.2">
      <c r="C4" s="81"/>
      <c r="D4" s="81"/>
    </row>
    <row r="5" spans="2:34" ht="12" customHeight="1" x14ac:dyDescent="0.2">
      <c r="B5" s="78"/>
      <c r="C5" s="78"/>
      <c r="D5" s="3"/>
    </row>
    <row r="6" spans="2:34" ht="23.25" customHeight="1" x14ac:dyDescent="0.2">
      <c r="D6" s="3"/>
    </row>
    <row r="7" spans="2:34" ht="12" customHeight="1" x14ac:dyDescent="0.2">
      <c r="B7" s="78"/>
      <c r="C7" s="78"/>
      <c r="D7" s="3"/>
    </row>
    <row r="8" spans="2:34" ht="12" customHeight="1" x14ac:dyDescent="0.2">
      <c r="B8" s="78"/>
      <c r="C8" s="78"/>
      <c r="D8" s="3"/>
    </row>
    <row r="9" spans="2:34" ht="12" customHeight="1" x14ac:dyDescent="0.2">
      <c r="B9" s="78"/>
      <c r="C9" s="78"/>
      <c r="D9" s="3"/>
    </row>
    <row r="10" spans="2:34" ht="12" customHeight="1" x14ac:dyDescent="0.2">
      <c r="C10" s="2"/>
      <c r="D10" s="3"/>
    </row>
    <row r="11" spans="2:34" ht="11.25" customHeight="1" x14ac:dyDescent="0.2"/>
    <row r="12" spans="2:34" ht="19.95" customHeight="1" x14ac:dyDescent="0.2">
      <c r="B12" s="68" t="s">
        <v>2</v>
      </c>
      <c r="C12" s="65" t="s">
        <v>3</v>
      </c>
      <c r="D12" s="65" t="s">
        <v>4</v>
      </c>
      <c r="E12" s="65" t="s">
        <v>5</v>
      </c>
      <c r="F12" s="65" t="s">
        <v>6</v>
      </c>
      <c r="G12" s="68" t="s">
        <v>7</v>
      </c>
      <c r="H12" s="63" t="s">
        <v>8</v>
      </c>
      <c r="I12" s="70" t="s">
        <v>9</v>
      </c>
      <c r="J12" s="61"/>
      <c r="K12" s="61"/>
      <c r="L12" s="70" t="s">
        <v>10</v>
      </c>
      <c r="M12" s="65" t="s">
        <v>11</v>
      </c>
      <c r="N12" s="65" t="s">
        <v>12</v>
      </c>
      <c r="O12" s="65" t="s">
        <v>13</v>
      </c>
      <c r="P12" s="65" t="s">
        <v>14</v>
      </c>
      <c r="Q12" s="65" t="s">
        <v>15</v>
      </c>
      <c r="R12" s="65" t="s">
        <v>16</v>
      </c>
      <c r="S12" s="65" t="s">
        <v>17</v>
      </c>
      <c r="T12" s="63" t="s">
        <v>18</v>
      </c>
      <c r="U12" s="63" t="s">
        <v>19</v>
      </c>
      <c r="V12" s="63" t="s">
        <v>20</v>
      </c>
      <c r="W12" s="63" t="s">
        <v>21</v>
      </c>
      <c r="X12" s="63" t="s">
        <v>22</v>
      </c>
      <c r="Y12" s="63" t="s">
        <v>23</v>
      </c>
      <c r="Z12" s="63" t="s">
        <v>24</v>
      </c>
      <c r="AA12" s="63" t="s">
        <v>25</v>
      </c>
      <c r="AB12" s="63" t="s">
        <v>26</v>
      </c>
      <c r="AC12" s="63" t="s">
        <v>27</v>
      </c>
      <c r="AD12" s="63" t="s">
        <v>28</v>
      </c>
      <c r="AE12" s="63" t="s">
        <v>29</v>
      </c>
      <c r="AF12" s="63" t="s">
        <v>30</v>
      </c>
      <c r="AG12" s="63" t="s">
        <v>31</v>
      </c>
      <c r="AH12" s="63" t="s">
        <v>32</v>
      </c>
    </row>
    <row r="13" spans="2:34" ht="24.75" customHeight="1" x14ac:dyDescent="0.2">
      <c r="B13" s="69"/>
      <c r="C13" s="67"/>
      <c r="D13" s="66"/>
      <c r="E13" s="67"/>
      <c r="F13" s="67"/>
      <c r="G13" s="69"/>
      <c r="H13" s="64"/>
      <c r="I13" s="71"/>
      <c r="J13" s="62"/>
      <c r="K13" s="62"/>
      <c r="L13" s="71"/>
      <c r="M13" s="67"/>
      <c r="N13" s="67"/>
      <c r="O13" s="67"/>
      <c r="P13" s="67"/>
      <c r="Q13" s="67"/>
      <c r="R13" s="67"/>
      <c r="S13" s="67"/>
      <c r="T13" s="64"/>
      <c r="U13" s="64"/>
      <c r="V13" s="64"/>
      <c r="W13" s="64"/>
      <c r="X13" s="64"/>
      <c r="Y13" s="64"/>
      <c r="Z13" s="64"/>
      <c r="AA13" s="64"/>
      <c r="AB13" s="64"/>
      <c r="AC13" s="64"/>
      <c r="AD13" s="64"/>
      <c r="AE13" s="64"/>
      <c r="AF13" s="64"/>
      <c r="AG13" s="64"/>
      <c r="AH13" s="64"/>
    </row>
    <row r="14" spans="2:34" ht="22.95" customHeight="1" x14ac:dyDescent="0.2">
      <c r="B14" s="77" t="s">
        <v>33</v>
      </c>
      <c r="C14" s="77"/>
      <c r="D14" s="77"/>
    </row>
    <row r="15" spans="2:34" ht="22.95" customHeight="1" outlineLevel="1" x14ac:dyDescent="0.2">
      <c r="B15" s="72" t="s">
        <v>34</v>
      </c>
      <c r="C15" s="72"/>
      <c r="D15" s="72"/>
    </row>
    <row r="16" spans="2:34" ht="22.95" customHeight="1" outlineLevel="2" x14ac:dyDescent="0.2">
      <c r="B16" s="73" t="s">
        <v>35</v>
      </c>
      <c r="C16" s="73"/>
      <c r="D16" s="73"/>
    </row>
    <row r="17" spans="2:34" ht="22.95" customHeight="1" outlineLevel="3" x14ac:dyDescent="0.2">
      <c r="B17" s="74" t="s">
        <v>36</v>
      </c>
      <c r="C17" s="74"/>
      <c r="D17" s="74"/>
    </row>
    <row r="18" spans="2:34" ht="21" customHeight="1" outlineLevel="4" x14ac:dyDescent="0.2">
      <c r="B18" s="4">
        <v>1</v>
      </c>
      <c r="C18" s="5" t="s">
        <v>37</v>
      </c>
      <c r="D18" s="5" t="s">
        <v>38</v>
      </c>
      <c r="E18" s="6" t="s">
        <v>39</v>
      </c>
      <c r="F18" s="10"/>
      <c r="G18" s="11" t="s">
        <v>40</v>
      </c>
      <c r="H18" s="12">
        <v>90</v>
      </c>
      <c r="I18" s="13" t="s">
        <v>41</v>
      </c>
      <c r="J18" s="13"/>
      <c r="K18" s="13"/>
      <c r="L18" s="4">
        <v>2</v>
      </c>
      <c r="M18" s="14">
        <f>399*(1-P3/100)</f>
        <v>399</v>
      </c>
      <c r="N18" s="15"/>
      <c r="O18" s="13">
        <f>M18*N18</f>
        <v>0</v>
      </c>
      <c r="P18" s="22">
        <f>0.212*N18</f>
        <v>0</v>
      </c>
      <c r="Q18" s="23">
        <f>0.00042*N18</f>
        <v>0</v>
      </c>
      <c r="R18" s="24"/>
      <c r="S18" s="25" t="s">
        <v>42</v>
      </c>
      <c r="T18" s="25" t="s">
        <v>43</v>
      </c>
      <c r="U18" s="5" t="s">
        <v>44</v>
      </c>
      <c r="V18" s="5" t="s">
        <v>45</v>
      </c>
      <c r="W18" s="5" t="s">
        <v>46</v>
      </c>
      <c r="X18" s="5"/>
      <c r="Y18" s="5"/>
      <c r="Z18" s="5" t="str">
        <f>HYPERLINK("https://knigipp.ru/api/getInfo/image/7308b5f6-b895-11ef-a267-00155d82e908")</f>
        <v>https://knigipp.ru/api/getInfo/image/7308b5f6-b895-11ef-a267-00155d82e908</v>
      </c>
      <c r="AA18" s="33">
        <v>96</v>
      </c>
      <c r="AB18" s="5" t="s">
        <v>47</v>
      </c>
      <c r="AC18" s="5" t="s">
        <v>48</v>
      </c>
      <c r="AD18" s="5"/>
      <c r="AE18" s="5" t="s">
        <v>49</v>
      </c>
      <c r="AF18" s="5"/>
      <c r="AG18" s="5"/>
      <c r="AH18" s="5" t="s">
        <v>50</v>
      </c>
    </row>
    <row r="19" spans="2:34" ht="21" customHeight="1" outlineLevel="4" x14ac:dyDescent="0.2">
      <c r="B19" s="4">
        <v>2</v>
      </c>
      <c r="C19" s="5" t="s">
        <v>51</v>
      </c>
      <c r="D19" s="5" t="s">
        <v>52</v>
      </c>
      <c r="E19" s="6" t="s">
        <v>53</v>
      </c>
      <c r="F19" s="10"/>
      <c r="G19" s="11" t="s">
        <v>54</v>
      </c>
      <c r="H19" s="12">
        <v>100</v>
      </c>
      <c r="I19" s="13" t="s">
        <v>41</v>
      </c>
      <c r="J19" s="13"/>
      <c r="K19" s="13"/>
      <c r="L19" s="4">
        <v>2</v>
      </c>
      <c r="M19" s="14">
        <f>349*(1-P3/100)</f>
        <v>349</v>
      </c>
      <c r="N19" s="15"/>
      <c r="O19" s="13">
        <f>M19*N19</f>
        <v>0</v>
      </c>
      <c r="P19" s="22">
        <f>0.144*N19</f>
        <v>0</v>
      </c>
      <c r="Q19" s="23">
        <f>0.00054*N19</f>
        <v>0</v>
      </c>
      <c r="R19" s="24"/>
      <c r="S19" s="25" t="s">
        <v>55</v>
      </c>
      <c r="T19" s="25" t="s">
        <v>43</v>
      </c>
      <c r="U19" s="5" t="s">
        <v>56</v>
      </c>
      <c r="V19" s="5" t="s">
        <v>57</v>
      </c>
      <c r="W19" s="5" t="s">
        <v>46</v>
      </c>
      <c r="X19" s="5"/>
      <c r="Y19" s="5"/>
      <c r="Z19" s="5" t="str">
        <f>HYPERLINK("https://knigipp.ru/api/getInfo/image/b8dced43-dfd9-11ef-a273-00155d82e908")</f>
        <v>https://knigipp.ru/api/getInfo/image/b8dced43-dfd9-11ef-a273-00155d82e908</v>
      </c>
      <c r="AA19" s="33">
        <v>64</v>
      </c>
      <c r="AB19" s="5" t="s">
        <v>47</v>
      </c>
      <c r="AC19" s="5" t="s">
        <v>48</v>
      </c>
      <c r="AD19" s="5"/>
      <c r="AE19" s="5" t="s">
        <v>49</v>
      </c>
      <c r="AF19" s="5"/>
      <c r="AG19" s="5"/>
      <c r="AH19" s="5" t="s">
        <v>50</v>
      </c>
    </row>
    <row r="20" spans="2:34" ht="21" customHeight="1" outlineLevel="4" x14ac:dyDescent="0.2">
      <c r="B20" s="4">
        <v>3</v>
      </c>
      <c r="C20" s="5" t="s">
        <v>58</v>
      </c>
      <c r="D20" s="5" t="s">
        <v>59</v>
      </c>
      <c r="E20" s="6" t="s">
        <v>60</v>
      </c>
      <c r="F20" s="10"/>
      <c r="G20" s="11" t="s">
        <v>61</v>
      </c>
      <c r="H20" s="12">
        <v>100</v>
      </c>
      <c r="I20" s="13" t="s">
        <v>41</v>
      </c>
      <c r="J20" s="13"/>
      <c r="K20" s="13"/>
      <c r="L20" s="4">
        <v>2</v>
      </c>
      <c r="M20" s="14">
        <f>349*(1-P3/100)</f>
        <v>349</v>
      </c>
      <c r="N20" s="15"/>
      <c r="O20" s="13">
        <f>M20*N20</f>
        <v>0</v>
      </c>
      <c r="P20" s="22">
        <f>0.151*N20</f>
        <v>0</v>
      </c>
      <c r="Q20" s="23">
        <f>0.00129*N20</f>
        <v>0</v>
      </c>
      <c r="R20" s="24"/>
      <c r="S20" s="25" t="s">
        <v>62</v>
      </c>
      <c r="T20" s="25" t="s">
        <v>43</v>
      </c>
      <c r="U20" s="5" t="s">
        <v>56</v>
      </c>
      <c r="V20" s="5" t="s">
        <v>63</v>
      </c>
      <c r="W20" s="5" t="s">
        <v>46</v>
      </c>
      <c r="X20" s="5"/>
      <c r="Y20" s="5"/>
      <c r="Z20" s="5" t="str">
        <f>HYPERLINK("https://knigipp.ru/api/getInfo/image/e3da44bd-00dc-11f0-a277-00155d82e908")</f>
        <v>https://knigipp.ru/api/getInfo/image/e3da44bd-00dc-11f0-a277-00155d82e908</v>
      </c>
      <c r="AA20" s="33">
        <v>64</v>
      </c>
      <c r="AB20" s="5" t="s">
        <v>47</v>
      </c>
      <c r="AC20" s="5" t="s">
        <v>48</v>
      </c>
      <c r="AD20" s="5"/>
      <c r="AE20" s="5" t="s">
        <v>49</v>
      </c>
      <c r="AF20" s="5"/>
      <c r="AG20" s="5"/>
      <c r="AH20" s="5" t="s">
        <v>50</v>
      </c>
    </row>
    <row r="21" spans="2:34" ht="21" customHeight="1" outlineLevel="4" x14ac:dyDescent="0.2">
      <c r="B21" s="4">
        <v>4</v>
      </c>
      <c r="C21" s="5" t="s">
        <v>64</v>
      </c>
      <c r="D21" s="5" t="s">
        <v>65</v>
      </c>
      <c r="E21" s="6" t="s">
        <v>66</v>
      </c>
      <c r="F21" s="10"/>
      <c r="G21" s="11" t="s">
        <v>67</v>
      </c>
      <c r="H21" s="12">
        <v>100</v>
      </c>
      <c r="I21" s="13" t="s">
        <v>41</v>
      </c>
      <c r="J21" s="13"/>
      <c r="K21" s="13"/>
      <c r="L21" s="4">
        <v>2</v>
      </c>
      <c r="M21" s="14">
        <f>349*(1-P3/100)</f>
        <v>349</v>
      </c>
      <c r="N21" s="15"/>
      <c r="O21" s="13">
        <f>M21*N21</f>
        <v>0</v>
      </c>
      <c r="P21" s="22">
        <f>0.148*N21</f>
        <v>0</v>
      </c>
      <c r="Q21" s="23">
        <f>0.00033*N21</f>
        <v>0</v>
      </c>
      <c r="R21" s="24"/>
      <c r="S21" s="25" t="s">
        <v>68</v>
      </c>
      <c r="T21" s="25" t="s">
        <v>43</v>
      </c>
      <c r="U21" s="5" t="s">
        <v>44</v>
      </c>
      <c r="V21" s="5" t="s">
        <v>69</v>
      </c>
      <c r="W21" s="5" t="s">
        <v>46</v>
      </c>
      <c r="X21" s="5"/>
      <c r="Y21" s="5"/>
      <c r="Z21" s="5" t="str">
        <f>HYPERLINK("https://knigipp.ru/api/getInfo/image/97d707b0-3d54-11f0-a27c-00155d82e908")</f>
        <v>https://knigipp.ru/api/getInfo/image/97d707b0-3d54-11f0-a27c-00155d82e908</v>
      </c>
      <c r="AA21" s="33">
        <v>64</v>
      </c>
      <c r="AB21" s="5" t="s">
        <v>47</v>
      </c>
      <c r="AC21" s="5" t="s">
        <v>48</v>
      </c>
      <c r="AD21" s="5"/>
      <c r="AE21" s="5" t="s">
        <v>49</v>
      </c>
      <c r="AF21" s="5"/>
      <c r="AG21" s="5"/>
      <c r="AH21" s="5" t="s">
        <v>50</v>
      </c>
    </row>
    <row r="22" spans="2:34" ht="21" customHeight="1" outlineLevel="4" x14ac:dyDescent="0.2">
      <c r="B22" s="4">
        <v>5</v>
      </c>
      <c r="C22" s="5" t="s">
        <v>70</v>
      </c>
      <c r="D22" s="5" t="s">
        <v>71</v>
      </c>
      <c r="E22" s="6" t="s">
        <v>72</v>
      </c>
      <c r="F22" s="10"/>
      <c r="G22" s="11" t="s">
        <v>73</v>
      </c>
      <c r="H22" s="12">
        <v>100</v>
      </c>
      <c r="I22" s="13" t="s">
        <v>41</v>
      </c>
      <c r="J22" s="13"/>
      <c r="K22" s="13"/>
      <c r="L22" s="4">
        <v>2</v>
      </c>
      <c r="M22" s="14">
        <f>399*(1-P3/100)</f>
        <v>399</v>
      </c>
      <c r="N22" s="15"/>
      <c r="O22" s="13">
        <f>M22*N22</f>
        <v>0</v>
      </c>
      <c r="P22" s="22">
        <f>0.175*N22</f>
        <v>0</v>
      </c>
      <c r="Q22" s="23">
        <f>0.00033*N22</f>
        <v>0</v>
      </c>
      <c r="R22" s="24"/>
      <c r="S22" s="25" t="s">
        <v>74</v>
      </c>
      <c r="T22" s="25" t="s">
        <v>43</v>
      </c>
      <c r="U22" s="5" t="s">
        <v>44</v>
      </c>
      <c r="V22" s="5" t="s">
        <v>75</v>
      </c>
      <c r="W22" s="5" t="s">
        <v>46</v>
      </c>
      <c r="X22" s="5"/>
      <c r="Y22" s="5"/>
      <c r="Z22" s="5" t="str">
        <f>HYPERLINK("https://knigipp.ru/api/getInfo/image/2871419d-840e-11f0-a284-00155d82e908")</f>
        <v>https://knigipp.ru/api/getInfo/image/2871419d-840e-11f0-a284-00155d82e908</v>
      </c>
      <c r="AA22" s="33">
        <v>80</v>
      </c>
      <c r="AB22" s="5" t="s">
        <v>47</v>
      </c>
      <c r="AC22" s="5" t="s">
        <v>48</v>
      </c>
      <c r="AD22" s="5"/>
      <c r="AE22" s="5" t="s">
        <v>49</v>
      </c>
      <c r="AF22" s="5"/>
      <c r="AG22" s="5"/>
      <c r="AH22" s="5" t="s">
        <v>50</v>
      </c>
    </row>
    <row r="23" spans="2:34" ht="22.95" customHeight="1" outlineLevel="3" x14ac:dyDescent="0.2">
      <c r="B23" s="74" t="s">
        <v>76</v>
      </c>
      <c r="C23" s="74"/>
      <c r="D23" s="74"/>
    </row>
    <row r="24" spans="2:34" ht="21" customHeight="1" outlineLevel="4" x14ac:dyDescent="0.2">
      <c r="B24" s="7">
        <v>6</v>
      </c>
      <c r="C24" s="8" t="s">
        <v>77</v>
      </c>
      <c r="D24" s="8" t="s">
        <v>78</v>
      </c>
      <c r="E24" s="9" t="s">
        <v>79</v>
      </c>
      <c r="F24" s="16"/>
      <c r="G24" s="17" t="s">
        <v>80</v>
      </c>
      <c r="H24" s="18">
        <v>4</v>
      </c>
      <c r="I24" s="19" t="s">
        <v>41</v>
      </c>
      <c r="J24" s="19"/>
      <c r="K24" s="19"/>
      <c r="L24" s="7">
        <v>1</v>
      </c>
      <c r="M24" s="20">
        <f>1777*(1-P3/100)</f>
        <v>1777</v>
      </c>
      <c r="N24" s="15"/>
      <c r="O24" s="19">
        <f>M24*N24</f>
        <v>0</v>
      </c>
      <c r="P24" s="26">
        <f>1.019*N24</f>
        <v>0</v>
      </c>
      <c r="Q24" s="27">
        <f>0.00131*N24</f>
        <v>0</v>
      </c>
      <c r="R24" s="28" t="s">
        <v>81</v>
      </c>
      <c r="S24" s="29" t="s">
        <v>82</v>
      </c>
      <c r="T24" s="29" t="s">
        <v>43</v>
      </c>
      <c r="U24" s="8" t="s">
        <v>83</v>
      </c>
      <c r="V24" s="8" t="s">
        <v>84</v>
      </c>
      <c r="W24" s="8" t="s">
        <v>46</v>
      </c>
      <c r="X24" s="8"/>
      <c r="Y24" s="8"/>
      <c r="Z24" s="8" t="str">
        <f>HYPERLINK("https://knigipp.ru/api/getInfo/image/e7e39604-b666-11f0-a286-00155d82e908")</f>
        <v>https://knigipp.ru/api/getInfo/image/e7e39604-b666-11f0-a286-00155d82e908</v>
      </c>
      <c r="AA24" s="34">
        <v>336</v>
      </c>
      <c r="AB24" s="8" t="s">
        <v>85</v>
      </c>
      <c r="AC24" s="8" t="s">
        <v>86</v>
      </c>
      <c r="AD24" s="8"/>
      <c r="AE24" s="8"/>
      <c r="AF24" s="8"/>
      <c r="AG24" s="8"/>
      <c r="AH24" s="8" t="s">
        <v>87</v>
      </c>
    </row>
    <row r="25" spans="2:34" ht="22.95" customHeight="1" outlineLevel="3" x14ac:dyDescent="0.2">
      <c r="B25" s="74" t="s">
        <v>88</v>
      </c>
      <c r="C25" s="74"/>
      <c r="D25" s="74"/>
    </row>
    <row r="26" spans="2:34" ht="21" customHeight="1" outlineLevel="4" x14ac:dyDescent="0.2">
      <c r="B26" s="7">
        <v>7</v>
      </c>
      <c r="C26" s="8" t="s">
        <v>89</v>
      </c>
      <c r="D26" s="8" t="s">
        <v>90</v>
      </c>
      <c r="E26" s="9" t="s">
        <v>91</v>
      </c>
      <c r="F26" s="16"/>
      <c r="G26" s="17" t="s">
        <v>92</v>
      </c>
      <c r="H26" s="18">
        <v>54</v>
      </c>
      <c r="I26" s="19" t="s">
        <v>41</v>
      </c>
      <c r="J26" s="19"/>
      <c r="K26" s="19"/>
      <c r="L26" s="7">
        <v>3</v>
      </c>
      <c r="M26" s="21">
        <f>257*(1-P3/100)</f>
        <v>257</v>
      </c>
      <c r="N26" s="15"/>
      <c r="O26" s="19">
        <f>M26*N26</f>
        <v>0</v>
      </c>
      <c r="P26" s="26">
        <f>0.093*N26</f>
        <v>0</v>
      </c>
      <c r="Q26" s="27">
        <f>0.00017*N26</f>
        <v>0</v>
      </c>
      <c r="R26" s="28" t="s">
        <v>81</v>
      </c>
      <c r="S26" s="29" t="s">
        <v>93</v>
      </c>
      <c r="T26" s="29" t="s">
        <v>94</v>
      </c>
      <c r="U26" s="8"/>
      <c r="V26" s="8" t="s">
        <v>95</v>
      </c>
      <c r="W26" s="8" t="s">
        <v>46</v>
      </c>
      <c r="X26" s="8"/>
      <c r="Y26" s="8"/>
      <c r="Z26" s="8" t="str">
        <f>HYPERLINK("https://knigipp.ru/api/getInfo/image/d3644fec-b667-11f0-a286-00155d82e908")</f>
        <v>https://knigipp.ru/api/getInfo/image/d3644fec-b667-11f0-a286-00155d82e908</v>
      </c>
      <c r="AA26" s="34">
        <v>24</v>
      </c>
      <c r="AB26" s="8" t="s">
        <v>47</v>
      </c>
      <c r="AC26" s="8" t="s">
        <v>96</v>
      </c>
      <c r="AD26" s="8"/>
      <c r="AE26" s="8"/>
      <c r="AF26" s="8"/>
      <c r="AG26" s="8"/>
      <c r="AH26" s="8" t="s">
        <v>97</v>
      </c>
    </row>
    <row r="27" spans="2:34" ht="21" customHeight="1" outlineLevel="4" x14ac:dyDescent="0.2">
      <c r="B27" s="7">
        <v>8</v>
      </c>
      <c r="C27" s="8" t="s">
        <v>98</v>
      </c>
      <c r="D27" s="8" t="s">
        <v>99</v>
      </c>
      <c r="E27" s="9" t="s">
        <v>100</v>
      </c>
      <c r="F27" s="16"/>
      <c r="G27" s="17" t="s">
        <v>92</v>
      </c>
      <c r="H27" s="18">
        <v>54</v>
      </c>
      <c r="I27" s="19" t="s">
        <v>41</v>
      </c>
      <c r="J27" s="19"/>
      <c r="K27" s="19"/>
      <c r="L27" s="7">
        <v>3</v>
      </c>
      <c r="M27" s="21">
        <f>257*(1-P3/100)</f>
        <v>257</v>
      </c>
      <c r="N27" s="15"/>
      <c r="O27" s="19">
        <f>M27*N27</f>
        <v>0</v>
      </c>
      <c r="P27" s="26">
        <f>0.092*N27</f>
        <v>0</v>
      </c>
      <c r="Q27" s="27">
        <f>0.00028*N27</f>
        <v>0</v>
      </c>
      <c r="R27" s="28" t="s">
        <v>81</v>
      </c>
      <c r="S27" s="29" t="s">
        <v>101</v>
      </c>
      <c r="T27" s="29" t="s">
        <v>94</v>
      </c>
      <c r="U27" s="8"/>
      <c r="V27" s="8" t="s">
        <v>102</v>
      </c>
      <c r="W27" s="8" t="s">
        <v>46</v>
      </c>
      <c r="X27" s="8"/>
      <c r="Y27" s="8"/>
      <c r="Z27" s="8" t="str">
        <f>HYPERLINK("https://knigipp.ru/api/getInfo/image/4e3e4d31-cb90-11f0-a28a-00155d82e908")</f>
        <v>https://knigipp.ru/api/getInfo/image/4e3e4d31-cb90-11f0-a28a-00155d82e908</v>
      </c>
      <c r="AA27" s="34">
        <v>24</v>
      </c>
      <c r="AB27" s="8" t="s">
        <v>47</v>
      </c>
      <c r="AC27" s="8" t="s">
        <v>96</v>
      </c>
      <c r="AD27" s="8"/>
      <c r="AE27" s="8"/>
      <c r="AF27" s="8"/>
      <c r="AG27" s="8"/>
      <c r="AH27" s="8" t="s">
        <v>103</v>
      </c>
    </row>
    <row r="28" spans="2:34" ht="21" customHeight="1" outlineLevel="4" x14ac:dyDescent="0.2">
      <c r="B28" s="7">
        <v>9</v>
      </c>
      <c r="C28" s="8" t="s">
        <v>104</v>
      </c>
      <c r="D28" s="8" t="s">
        <v>105</v>
      </c>
      <c r="E28" s="9" t="s">
        <v>106</v>
      </c>
      <c r="F28" s="16"/>
      <c r="G28" s="17" t="s">
        <v>92</v>
      </c>
      <c r="H28" s="18">
        <v>54</v>
      </c>
      <c r="I28" s="19" t="s">
        <v>41</v>
      </c>
      <c r="J28" s="19"/>
      <c r="K28" s="19"/>
      <c r="L28" s="7">
        <v>3</v>
      </c>
      <c r="M28" s="21">
        <f>257*(1-P3/100)</f>
        <v>257</v>
      </c>
      <c r="N28" s="15"/>
      <c r="O28" s="19">
        <f>M28*N28</f>
        <v>0</v>
      </c>
      <c r="P28" s="26">
        <f>0.091*N28</f>
        <v>0</v>
      </c>
      <c r="Q28" s="27">
        <f>0.00028*N28</f>
        <v>0</v>
      </c>
      <c r="R28" s="28" t="s">
        <v>81</v>
      </c>
      <c r="S28" s="29" t="s">
        <v>107</v>
      </c>
      <c r="T28" s="29" t="s">
        <v>94</v>
      </c>
      <c r="U28" s="8"/>
      <c r="V28" s="8" t="s">
        <v>108</v>
      </c>
      <c r="W28" s="8" t="s">
        <v>46</v>
      </c>
      <c r="X28" s="8"/>
      <c r="Y28" s="8"/>
      <c r="Z28" s="8" t="str">
        <f>HYPERLINK("https://knigipp.ru/api/getInfo/image/6fa0cdcc-cb90-11f0-a28a-00155d82e908")</f>
        <v>https://knigipp.ru/api/getInfo/image/6fa0cdcc-cb90-11f0-a28a-00155d82e908</v>
      </c>
      <c r="AA28" s="34">
        <v>24</v>
      </c>
      <c r="AB28" s="8" t="s">
        <v>47</v>
      </c>
      <c r="AC28" s="8" t="s">
        <v>96</v>
      </c>
      <c r="AD28" s="8"/>
      <c r="AE28" s="8"/>
      <c r="AF28" s="8"/>
      <c r="AG28" s="8"/>
      <c r="AH28" s="8" t="s">
        <v>103</v>
      </c>
    </row>
    <row r="29" spans="2:34" ht="22.95" customHeight="1" outlineLevel="3" x14ac:dyDescent="0.2">
      <c r="B29" s="74" t="s">
        <v>109</v>
      </c>
      <c r="C29" s="74"/>
      <c r="D29" s="74"/>
    </row>
    <row r="30" spans="2:34" ht="21" customHeight="1" outlineLevel="4" x14ac:dyDescent="0.2">
      <c r="B30" s="4">
        <v>10</v>
      </c>
      <c r="C30" s="5" t="s">
        <v>110</v>
      </c>
      <c r="D30" s="5" t="s">
        <v>111</v>
      </c>
      <c r="E30" s="6" t="s">
        <v>112</v>
      </c>
      <c r="F30" s="10"/>
      <c r="G30" s="11" t="s">
        <v>113</v>
      </c>
      <c r="H30" s="12">
        <v>100</v>
      </c>
      <c r="I30" s="13" t="s">
        <v>41</v>
      </c>
      <c r="J30" s="13"/>
      <c r="K30" s="13"/>
      <c r="L30" s="4">
        <v>2</v>
      </c>
      <c r="M30" s="14">
        <f>349*(1-P3/100)</f>
        <v>349</v>
      </c>
      <c r="N30" s="15"/>
      <c r="O30" s="13">
        <f>M30*N30</f>
        <v>0</v>
      </c>
      <c r="P30" s="22">
        <f>0.148*N30</f>
        <v>0</v>
      </c>
      <c r="Q30" s="30">
        <f>0.0003*N30</f>
        <v>0</v>
      </c>
      <c r="R30" s="24"/>
      <c r="S30" s="25" t="s">
        <v>114</v>
      </c>
      <c r="T30" s="25" t="s">
        <v>43</v>
      </c>
      <c r="U30" s="5" t="s">
        <v>44</v>
      </c>
      <c r="V30" s="5" t="s">
        <v>115</v>
      </c>
      <c r="W30" s="5" t="s">
        <v>46</v>
      </c>
      <c r="X30" s="5"/>
      <c r="Y30" s="5"/>
      <c r="Z30" s="5" t="str">
        <f>HYPERLINK("https://knigipp.ru/api/getInfo/image/e45977f5-25be-11f0-a279-00155d82e908")</f>
        <v>https://knigipp.ru/api/getInfo/image/e45977f5-25be-11f0-a279-00155d82e908</v>
      </c>
      <c r="AA30" s="33">
        <v>64</v>
      </c>
      <c r="AB30" s="5" t="s">
        <v>47</v>
      </c>
      <c r="AC30" s="5" t="s">
        <v>48</v>
      </c>
      <c r="AD30" s="5"/>
      <c r="AE30" s="5" t="s">
        <v>49</v>
      </c>
      <c r="AF30" s="5"/>
      <c r="AG30" s="5"/>
      <c r="AH30" s="5" t="s">
        <v>50</v>
      </c>
    </row>
    <row r="31" spans="2:34" ht="21" customHeight="1" outlineLevel="4" x14ac:dyDescent="0.2">
      <c r="B31" s="7">
        <v>11</v>
      </c>
      <c r="C31" s="8" t="s">
        <v>116</v>
      </c>
      <c r="D31" s="8" t="s">
        <v>117</v>
      </c>
      <c r="E31" s="9" t="s">
        <v>118</v>
      </c>
      <c r="F31" s="16"/>
      <c r="G31" s="17" t="s">
        <v>119</v>
      </c>
      <c r="H31" s="18">
        <v>100</v>
      </c>
      <c r="I31" s="19" t="s">
        <v>41</v>
      </c>
      <c r="J31" s="19"/>
      <c r="K31" s="19"/>
      <c r="L31" s="7">
        <v>2</v>
      </c>
      <c r="M31" s="21">
        <f>437*(1-P3/100)</f>
        <v>437</v>
      </c>
      <c r="N31" s="15"/>
      <c r="O31" s="19">
        <f>M31*N31</f>
        <v>0</v>
      </c>
      <c r="P31" s="26">
        <f>0.146*N31</f>
        <v>0</v>
      </c>
      <c r="Q31" s="27">
        <f>0.00021*N31</f>
        <v>0</v>
      </c>
      <c r="R31" s="28" t="s">
        <v>81</v>
      </c>
      <c r="S31" s="29" t="s">
        <v>120</v>
      </c>
      <c r="T31" s="29" t="s">
        <v>43</v>
      </c>
      <c r="U31" s="8" t="s">
        <v>44</v>
      </c>
      <c r="V31" s="8" t="s">
        <v>121</v>
      </c>
      <c r="W31" s="8" t="s">
        <v>46</v>
      </c>
      <c r="X31" s="8"/>
      <c r="Y31" s="8"/>
      <c r="Z31" s="8" t="str">
        <f>HYPERLINK("https://knigipp.ru/api/getInfo/image/88874bda-cc63-11f0-a28a-00155d82e908")</f>
        <v>https://knigipp.ru/api/getInfo/image/88874bda-cc63-11f0-a28a-00155d82e908</v>
      </c>
      <c r="AA31" s="34">
        <v>64</v>
      </c>
      <c r="AB31" s="8" t="s">
        <v>47</v>
      </c>
      <c r="AC31" s="8" t="s">
        <v>48</v>
      </c>
      <c r="AD31" s="8"/>
      <c r="AE31" s="8" t="s">
        <v>49</v>
      </c>
      <c r="AF31" s="8"/>
      <c r="AG31" s="8"/>
      <c r="AH31" s="8" t="s">
        <v>50</v>
      </c>
    </row>
    <row r="32" spans="2:34" ht="22.95" customHeight="1" outlineLevel="3" x14ac:dyDescent="0.2">
      <c r="B32" s="74" t="s">
        <v>122</v>
      </c>
      <c r="C32" s="74"/>
      <c r="D32" s="74"/>
    </row>
    <row r="33" spans="2:34" ht="21" customHeight="1" outlineLevel="4" x14ac:dyDescent="0.2">
      <c r="B33" s="7">
        <v>12</v>
      </c>
      <c r="C33" s="8" t="s">
        <v>123</v>
      </c>
      <c r="D33" s="8" t="s">
        <v>124</v>
      </c>
      <c r="E33" s="9" t="s">
        <v>125</v>
      </c>
      <c r="F33" s="16"/>
      <c r="G33" s="17" t="s">
        <v>126</v>
      </c>
      <c r="H33" s="18">
        <v>10</v>
      </c>
      <c r="I33" s="19" t="s">
        <v>41</v>
      </c>
      <c r="J33" s="19"/>
      <c r="K33" s="19"/>
      <c r="L33" s="7">
        <v>1</v>
      </c>
      <c r="M33" s="21">
        <f>677*(1-P3/100)</f>
        <v>677</v>
      </c>
      <c r="N33" s="15"/>
      <c r="O33" s="19">
        <f>M33*N33</f>
        <v>0</v>
      </c>
      <c r="P33" s="26">
        <f>0.241*N33</f>
        <v>0</v>
      </c>
      <c r="Q33" s="31">
        <f>0.0003*N33</f>
        <v>0</v>
      </c>
      <c r="R33" s="28" t="s">
        <v>81</v>
      </c>
      <c r="S33" s="29" t="s">
        <v>127</v>
      </c>
      <c r="T33" s="29" t="s">
        <v>43</v>
      </c>
      <c r="U33" s="8" t="s">
        <v>128</v>
      </c>
      <c r="V33" s="8" t="s">
        <v>129</v>
      </c>
      <c r="W33" s="8" t="s">
        <v>46</v>
      </c>
      <c r="X33" s="8"/>
      <c r="Y33" s="8"/>
      <c r="Z33" s="8" t="str">
        <f>HYPERLINK("https://knigipp.ru/api/getInfo/image/c36ab87d-e572-11f0-a28c-00155d82e908")</f>
        <v>https://knigipp.ru/api/getInfo/image/c36ab87d-e572-11f0-a28c-00155d82e908</v>
      </c>
      <c r="AA33" s="34">
        <v>80</v>
      </c>
      <c r="AB33" s="8" t="s">
        <v>47</v>
      </c>
      <c r="AC33" s="8" t="s">
        <v>86</v>
      </c>
      <c r="AD33" s="8"/>
      <c r="AE33" s="8"/>
      <c r="AF33" s="8"/>
      <c r="AG33" s="8"/>
      <c r="AH33" s="8" t="s">
        <v>130</v>
      </c>
    </row>
    <row r="34" spans="2:34" ht="22.95" customHeight="1" outlineLevel="1" x14ac:dyDescent="0.2">
      <c r="B34" s="72" t="s">
        <v>131</v>
      </c>
      <c r="C34" s="72"/>
      <c r="D34" s="72"/>
    </row>
    <row r="35" spans="2:34" ht="22.95" customHeight="1" outlineLevel="2" x14ac:dyDescent="0.2">
      <c r="B35" s="73" t="s">
        <v>132</v>
      </c>
      <c r="C35" s="73"/>
      <c r="D35" s="73"/>
    </row>
    <row r="36" spans="2:34" ht="21" customHeight="1" outlineLevel="3" x14ac:dyDescent="0.2">
      <c r="B36" s="7">
        <v>13</v>
      </c>
      <c r="C36" s="8" t="s">
        <v>133</v>
      </c>
      <c r="D36" s="8" t="s">
        <v>134</v>
      </c>
      <c r="E36" s="9" t="s">
        <v>135</v>
      </c>
      <c r="F36" s="16"/>
      <c r="G36" s="17" t="s">
        <v>136</v>
      </c>
      <c r="H36" s="18">
        <v>20</v>
      </c>
      <c r="I36" s="19" t="s">
        <v>41</v>
      </c>
      <c r="J36" s="19"/>
      <c r="K36" s="19"/>
      <c r="L36" s="7">
        <v>1</v>
      </c>
      <c r="M36" s="21">
        <f>307*(1-P3/100)</f>
        <v>307</v>
      </c>
      <c r="N36" s="15"/>
      <c r="O36" s="19">
        <f t="shared" ref="O36:O41" si="0">M36*N36</f>
        <v>0</v>
      </c>
      <c r="P36" s="26">
        <f>0.164*N36</f>
        <v>0</v>
      </c>
      <c r="Q36" s="27">
        <f>0.00043*N36</f>
        <v>0</v>
      </c>
      <c r="R36" s="28" t="s">
        <v>81</v>
      </c>
      <c r="S36" s="29" t="s">
        <v>137</v>
      </c>
      <c r="T36" s="29" t="s">
        <v>43</v>
      </c>
      <c r="U36" s="8" t="s">
        <v>138</v>
      </c>
      <c r="V36" s="8" t="s">
        <v>139</v>
      </c>
      <c r="W36" s="8" t="s">
        <v>46</v>
      </c>
      <c r="X36" s="8"/>
      <c r="Y36" s="8"/>
      <c r="Z36" s="8" t="str">
        <f>HYPERLINK("https://knigipp.ru/api/getInfo/image/070cfd99-fdd3-11f0-a28e-00155d82e908")</f>
        <v>https://knigipp.ru/api/getInfo/image/070cfd99-fdd3-11f0-a28e-00155d82e908</v>
      </c>
      <c r="AA36" s="34">
        <v>10</v>
      </c>
      <c r="AB36" s="8" t="s">
        <v>47</v>
      </c>
      <c r="AC36" s="8" t="s">
        <v>140</v>
      </c>
      <c r="AD36" s="8"/>
      <c r="AE36" s="8"/>
      <c r="AF36" s="8"/>
      <c r="AG36" s="8"/>
      <c r="AH36" s="8" t="s">
        <v>141</v>
      </c>
    </row>
    <row r="37" spans="2:34" ht="21" customHeight="1" outlineLevel="3" x14ac:dyDescent="0.2">
      <c r="B37" s="7">
        <v>14</v>
      </c>
      <c r="C37" s="8" t="s">
        <v>142</v>
      </c>
      <c r="D37" s="8" t="s">
        <v>143</v>
      </c>
      <c r="E37" s="9" t="s">
        <v>144</v>
      </c>
      <c r="F37" s="16"/>
      <c r="G37" s="17" t="s">
        <v>136</v>
      </c>
      <c r="H37" s="18">
        <v>20</v>
      </c>
      <c r="I37" s="19" t="s">
        <v>41</v>
      </c>
      <c r="J37" s="19"/>
      <c r="K37" s="19"/>
      <c r="L37" s="7">
        <v>1</v>
      </c>
      <c r="M37" s="21">
        <f>307*(1-P3/100)</f>
        <v>307</v>
      </c>
      <c r="N37" s="15"/>
      <c r="O37" s="19">
        <f t="shared" si="0"/>
        <v>0</v>
      </c>
      <c r="P37" s="26">
        <f>0.166*N37</f>
        <v>0</v>
      </c>
      <c r="Q37" s="27">
        <f>0.00037*N37</f>
        <v>0</v>
      </c>
      <c r="R37" s="28" t="s">
        <v>81</v>
      </c>
      <c r="S37" s="29" t="s">
        <v>145</v>
      </c>
      <c r="T37" s="29" t="s">
        <v>43</v>
      </c>
      <c r="U37" s="8" t="s">
        <v>146</v>
      </c>
      <c r="V37" s="8" t="s">
        <v>147</v>
      </c>
      <c r="W37" s="8" t="s">
        <v>46</v>
      </c>
      <c r="X37" s="8"/>
      <c r="Y37" s="8"/>
      <c r="Z37" s="8" t="str">
        <f>HYPERLINK("https://knigipp.ru/api/getInfo/image/9a54531e-fdd2-11f0-a28e-00155d82e908")</f>
        <v>https://knigipp.ru/api/getInfo/image/9a54531e-fdd2-11f0-a28e-00155d82e908</v>
      </c>
      <c r="AA37" s="34">
        <v>10</v>
      </c>
      <c r="AB37" s="8" t="s">
        <v>47</v>
      </c>
      <c r="AC37" s="8" t="s">
        <v>140</v>
      </c>
      <c r="AD37" s="8"/>
      <c r="AE37" s="8"/>
      <c r="AF37" s="8"/>
      <c r="AG37" s="8"/>
      <c r="AH37" s="8" t="s">
        <v>141</v>
      </c>
    </row>
    <row r="38" spans="2:34" ht="21" customHeight="1" outlineLevel="3" x14ac:dyDescent="0.2">
      <c r="B38" s="7">
        <v>15</v>
      </c>
      <c r="C38" s="8" t="s">
        <v>148</v>
      </c>
      <c r="D38" s="8" t="s">
        <v>149</v>
      </c>
      <c r="E38" s="9" t="s">
        <v>150</v>
      </c>
      <c r="F38" s="16"/>
      <c r="G38" s="17" t="s">
        <v>136</v>
      </c>
      <c r="H38" s="18">
        <v>20</v>
      </c>
      <c r="I38" s="19" t="s">
        <v>41</v>
      </c>
      <c r="J38" s="19"/>
      <c r="K38" s="19"/>
      <c r="L38" s="7">
        <v>1</v>
      </c>
      <c r="M38" s="21">
        <f>307*(1-P3/100)</f>
        <v>307</v>
      </c>
      <c r="N38" s="15"/>
      <c r="O38" s="19">
        <f t="shared" si="0"/>
        <v>0</v>
      </c>
      <c r="P38" s="26">
        <f>0.166*N38</f>
        <v>0</v>
      </c>
      <c r="Q38" s="27">
        <f>0.00032*N38</f>
        <v>0</v>
      </c>
      <c r="R38" s="28" t="s">
        <v>81</v>
      </c>
      <c r="S38" s="29" t="s">
        <v>151</v>
      </c>
      <c r="T38" s="29" t="s">
        <v>43</v>
      </c>
      <c r="U38" s="8" t="s">
        <v>146</v>
      </c>
      <c r="V38" s="8" t="s">
        <v>152</v>
      </c>
      <c r="W38" s="8" t="s">
        <v>46</v>
      </c>
      <c r="X38" s="8"/>
      <c r="Y38" s="8"/>
      <c r="Z38" s="8" t="str">
        <f>HYPERLINK("https://knigipp.ru/api/getInfo/image/2fcb0c7a-fdd3-11f0-a28e-00155d82e908")</f>
        <v>https://knigipp.ru/api/getInfo/image/2fcb0c7a-fdd3-11f0-a28e-00155d82e908</v>
      </c>
      <c r="AA38" s="34">
        <v>10</v>
      </c>
      <c r="AB38" s="8" t="s">
        <v>47</v>
      </c>
      <c r="AC38" s="8" t="s">
        <v>140</v>
      </c>
      <c r="AD38" s="8"/>
      <c r="AE38" s="8"/>
      <c r="AF38" s="8"/>
      <c r="AG38" s="8"/>
      <c r="AH38" s="8" t="s">
        <v>141</v>
      </c>
    </row>
    <row r="39" spans="2:34" ht="21" customHeight="1" outlineLevel="3" x14ac:dyDescent="0.2">
      <c r="B39" s="7">
        <v>16</v>
      </c>
      <c r="C39" s="8" t="s">
        <v>153</v>
      </c>
      <c r="D39" s="8" t="s">
        <v>154</v>
      </c>
      <c r="E39" s="9" t="s">
        <v>155</v>
      </c>
      <c r="F39" s="16"/>
      <c r="G39" s="17" t="s">
        <v>136</v>
      </c>
      <c r="H39" s="18">
        <v>20</v>
      </c>
      <c r="I39" s="19" t="s">
        <v>41</v>
      </c>
      <c r="J39" s="19"/>
      <c r="K39" s="19"/>
      <c r="L39" s="7">
        <v>1</v>
      </c>
      <c r="M39" s="21">
        <f>307*(1-P3/100)</f>
        <v>307</v>
      </c>
      <c r="N39" s="15"/>
      <c r="O39" s="19">
        <f t="shared" si="0"/>
        <v>0</v>
      </c>
      <c r="P39" s="26">
        <f>0.182*N39</f>
        <v>0</v>
      </c>
      <c r="Q39" s="31">
        <f>0.0008*N39</f>
        <v>0</v>
      </c>
      <c r="R39" s="28" t="s">
        <v>81</v>
      </c>
      <c r="S39" s="29" t="s">
        <v>156</v>
      </c>
      <c r="T39" s="29" t="s">
        <v>43</v>
      </c>
      <c r="U39" s="8" t="s">
        <v>157</v>
      </c>
      <c r="V39" s="8" t="s">
        <v>158</v>
      </c>
      <c r="W39" s="8" t="s">
        <v>46</v>
      </c>
      <c r="X39" s="8"/>
      <c r="Y39" s="8"/>
      <c r="Z39" s="8" t="str">
        <f>HYPERLINK("https://knigipp.ru/api/getInfo/image/5c7e4c77-fdd3-11f0-a28e-00155d82e908")</f>
        <v>https://knigipp.ru/api/getInfo/image/5c7e4c77-fdd3-11f0-a28e-00155d82e908</v>
      </c>
      <c r="AA39" s="34">
        <v>10</v>
      </c>
      <c r="AB39" s="8" t="s">
        <v>47</v>
      </c>
      <c r="AC39" s="8" t="s">
        <v>140</v>
      </c>
      <c r="AD39" s="8"/>
      <c r="AE39" s="8"/>
      <c r="AF39" s="8"/>
      <c r="AG39" s="8"/>
      <c r="AH39" s="8" t="s">
        <v>141</v>
      </c>
    </row>
    <row r="40" spans="2:34" ht="21" customHeight="1" outlineLevel="3" x14ac:dyDescent="0.2">
      <c r="B40" s="7">
        <v>17</v>
      </c>
      <c r="C40" s="8" t="s">
        <v>159</v>
      </c>
      <c r="D40" s="8" t="s">
        <v>160</v>
      </c>
      <c r="E40" s="9" t="s">
        <v>161</v>
      </c>
      <c r="F40" s="16"/>
      <c r="G40" s="17" t="s">
        <v>136</v>
      </c>
      <c r="H40" s="18">
        <v>20</v>
      </c>
      <c r="I40" s="19" t="s">
        <v>41</v>
      </c>
      <c r="J40" s="19"/>
      <c r="K40" s="19"/>
      <c r="L40" s="7">
        <v>1</v>
      </c>
      <c r="M40" s="21">
        <f>307*(1-P3/100)</f>
        <v>307</v>
      </c>
      <c r="N40" s="15"/>
      <c r="O40" s="19">
        <f t="shared" si="0"/>
        <v>0</v>
      </c>
      <c r="P40" s="26">
        <f>0.164*N40</f>
        <v>0</v>
      </c>
      <c r="Q40" s="27">
        <f>0.00569*N40</f>
        <v>0</v>
      </c>
      <c r="R40" s="28" t="s">
        <v>81</v>
      </c>
      <c r="S40" s="29" t="s">
        <v>162</v>
      </c>
      <c r="T40" s="29" t="s">
        <v>43</v>
      </c>
      <c r="U40" s="8" t="s">
        <v>146</v>
      </c>
      <c r="V40" s="8" t="s">
        <v>163</v>
      </c>
      <c r="W40" s="8" t="s">
        <v>46</v>
      </c>
      <c r="X40" s="8"/>
      <c r="Y40" s="8"/>
      <c r="Z40" s="8" t="str">
        <f>HYPERLINK("https://knigipp.ru/api/getInfo/image/e677b827-fdd2-11f0-a28e-00155d82e908")</f>
        <v>https://knigipp.ru/api/getInfo/image/e677b827-fdd2-11f0-a28e-00155d82e908</v>
      </c>
      <c r="AA40" s="34">
        <v>10</v>
      </c>
      <c r="AB40" s="8" t="s">
        <v>47</v>
      </c>
      <c r="AC40" s="8" t="s">
        <v>140</v>
      </c>
      <c r="AD40" s="8"/>
      <c r="AE40" s="8"/>
      <c r="AF40" s="8"/>
      <c r="AG40" s="8"/>
      <c r="AH40" s="8" t="s">
        <v>141</v>
      </c>
    </row>
    <row r="41" spans="2:34" ht="21" customHeight="1" outlineLevel="3" x14ac:dyDescent="0.2">
      <c r="B41" s="7">
        <v>18</v>
      </c>
      <c r="C41" s="8" t="s">
        <v>164</v>
      </c>
      <c r="D41" s="8" t="s">
        <v>165</v>
      </c>
      <c r="E41" s="9" t="s">
        <v>166</v>
      </c>
      <c r="F41" s="16"/>
      <c r="G41" s="17" t="s">
        <v>136</v>
      </c>
      <c r="H41" s="18">
        <v>20</v>
      </c>
      <c r="I41" s="19" t="s">
        <v>41</v>
      </c>
      <c r="J41" s="19"/>
      <c r="K41" s="19"/>
      <c r="L41" s="7">
        <v>1</v>
      </c>
      <c r="M41" s="21">
        <f>307*(1-P3/100)</f>
        <v>307</v>
      </c>
      <c r="N41" s="15"/>
      <c r="O41" s="19">
        <f t="shared" si="0"/>
        <v>0</v>
      </c>
      <c r="P41" s="26">
        <f>0.162*N41</f>
        <v>0</v>
      </c>
      <c r="Q41" s="27">
        <f>0.00032*N41</f>
        <v>0</v>
      </c>
      <c r="R41" s="28" t="s">
        <v>81</v>
      </c>
      <c r="S41" s="29" t="s">
        <v>167</v>
      </c>
      <c r="T41" s="29" t="s">
        <v>43</v>
      </c>
      <c r="U41" s="8"/>
      <c r="V41" s="8" t="s">
        <v>168</v>
      </c>
      <c r="W41" s="8" t="s">
        <v>46</v>
      </c>
      <c r="X41" s="8"/>
      <c r="Y41" s="8"/>
      <c r="Z41" s="8" t="str">
        <f>HYPERLINK("https://knigipp.ru/api/getInfo/image/84bf6331-fdd3-11f0-a28e-00155d82e908")</f>
        <v>https://knigipp.ru/api/getInfo/image/84bf6331-fdd3-11f0-a28e-00155d82e908</v>
      </c>
      <c r="AA41" s="34">
        <v>10</v>
      </c>
      <c r="AB41" s="8" t="s">
        <v>47</v>
      </c>
      <c r="AC41" s="8" t="s">
        <v>140</v>
      </c>
      <c r="AD41" s="8"/>
      <c r="AE41" s="8"/>
      <c r="AF41" s="8"/>
      <c r="AG41" s="8"/>
      <c r="AH41" s="8" t="s">
        <v>141</v>
      </c>
    </row>
    <row r="42" spans="2:34" ht="22.95" customHeight="1" outlineLevel="2" x14ac:dyDescent="0.2">
      <c r="B42" s="73" t="s">
        <v>169</v>
      </c>
      <c r="C42" s="73"/>
      <c r="D42" s="73"/>
    </row>
    <row r="43" spans="2:34" ht="21" customHeight="1" outlineLevel="3" x14ac:dyDescent="0.2">
      <c r="B43" s="4">
        <v>19</v>
      </c>
      <c r="C43" s="5" t="s">
        <v>170</v>
      </c>
      <c r="D43" s="5" t="s">
        <v>171</v>
      </c>
      <c r="E43" s="6" t="s">
        <v>172</v>
      </c>
      <c r="F43" s="10"/>
      <c r="G43" s="11" t="s">
        <v>173</v>
      </c>
      <c r="H43" s="12">
        <v>40</v>
      </c>
      <c r="I43" s="13" t="s">
        <v>41</v>
      </c>
      <c r="J43" s="13"/>
      <c r="K43" s="13"/>
      <c r="L43" s="4">
        <v>4</v>
      </c>
      <c r="M43" s="14">
        <f>169*(1-P3/100)</f>
        <v>169</v>
      </c>
      <c r="N43" s="15"/>
      <c r="O43" s="13">
        <f t="shared" ref="O43:O50" si="1">M43*N43</f>
        <v>0</v>
      </c>
      <c r="P43" s="32">
        <f>0.11*N43</f>
        <v>0</v>
      </c>
      <c r="Q43" s="23">
        <f>0.00022*N43</f>
        <v>0</v>
      </c>
      <c r="R43" s="24"/>
      <c r="S43" s="25" t="s">
        <v>174</v>
      </c>
      <c r="T43" s="25" t="s">
        <v>43</v>
      </c>
      <c r="U43" s="5"/>
      <c r="V43" s="5" t="s">
        <v>175</v>
      </c>
      <c r="W43" s="5" t="s">
        <v>46</v>
      </c>
      <c r="X43" s="5"/>
      <c r="Y43" s="5"/>
      <c r="Z43" s="5" t="str">
        <f>HYPERLINK("https://knigipp.ru/api/getInfo/image/d92b3098-8412-11f0-a284-00155d82e908")</f>
        <v>https://knigipp.ru/api/getInfo/image/d92b3098-8412-11f0-a284-00155d82e908</v>
      </c>
      <c r="AA43" s="33">
        <v>10</v>
      </c>
      <c r="AB43" s="5" t="s">
        <v>47</v>
      </c>
      <c r="AC43" s="5" t="s">
        <v>140</v>
      </c>
      <c r="AD43" s="5"/>
      <c r="AE43" s="5" t="s">
        <v>49</v>
      </c>
      <c r="AF43" s="5"/>
      <c r="AG43" s="5"/>
      <c r="AH43" s="5" t="s">
        <v>176</v>
      </c>
    </row>
    <row r="44" spans="2:34" ht="21" customHeight="1" outlineLevel="3" x14ac:dyDescent="0.2">
      <c r="B44" s="4">
        <v>20</v>
      </c>
      <c r="C44" s="5" t="s">
        <v>177</v>
      </c>
      <c r="D44" s="5" t="s">
        <v>178</v>
      </c>
      <c r="E44" s="6" t="s">
        <v>179</v>
      </c>
      <c r="F44" s="10"/>
      <c r="G44" s="11" t="s">
        <v>173</v>
      </c>
      <c r="H44" s="12">
        <v>40</v>
      </c>
      <c r="I44" s="13" t="s">
        <v>41</v>
      </c>
      <c r="J44" s="13"/>
      <c r="K44" s="13"/>
      <c r="L44" s="4">
        <v>4</v>
      </c>
      <c r="M44" s="14">
        <f>169*(1-P3/100)</f>
        <v>169</v>
      </c>
      <c r="N44" s="15"/>
      <c r="O44" s="13">
        <f t="shared" si="1"/>
        <v>0</v>
      </c>
      <c r="P44" s="32">
        <f>0.11*N44</f>
        <v>0</v>
      </c>
      <c r="Q44" s="23">
        <f>0.00022*N44</f>
        <v>0</v>
      </c>
      <c r="R44" s="24"/>
      <c r="S44" s="25" t="s">
        <v>180</v>
      </c>
      <c r="T44" s="25" t="s">
        <v>43</v>
      </c>
      <c r="U44" s="5"/>
      <c r="V44" s="5" t="s">
        <v>181</v>
      </c>
      <c r="W44" s="5" t="s">
        <v>46</v>
      </c>
      <c r="X44" s="5"/>
      <c r="Y44" s="5"/>
      <c r="Z44" s="5" t="str">
        <f>HYPERLINK("https://knigipp.ru/api/getInfo/image/9351749c-8413-11f0-a284-00155d82e908")</f>
        <v>https://knigipp.ru/api/getInfo/image/9351749c-8413-11f0-a284-00155d82e908</v>
      </c>
      <c r="AA44" s="33">
        <v>10</v>
      </c>
      <c r="AB44" s="5" t="s">
        <v>47</v>
      </c>
      <c r="AC44" s="5" t="s">
        <v>140</v>
      </c>
      <c r="AD44" s="5"/>
      <c r="AE44" s="5" t="s">
        <v>49</v>
      </c>
      <c r="AF44" s="5"/>
      <c r="AG44" s="5"/>
      <c r="AH44" s="5" t="s">
        <v>176</v>
      </c>
    </row>
    <row r="45" spans="2:34" ht="21" customHeight="1" outlineLevel="3" x14ac:dyDescent="0.2">
      <c r="B45" s="4">
        <v>21</v>
      </c>
      <c r="C45" s="5" t="s">
        <v>182</v>
      </c>
      <c r="D45" s="5" t="s">
        <v>183</v>
      </c>
      <c r="E45" s="6" t="s">
        <v>184</v>
      </c>
      <c r="F45" s="10"/>
      <c r="G45" s="11" t="s">
        <v>173</v>
      </c>
      <c r="H45" s="12">
        <v>40</v>
      </c>
      <c r="I45" s="13" t="s">
        <v>41</v>
      </c>
      <c r="J45" s="13"/>
      <c r="K45" s="13"/>
      <c r="L45" s="4">
        <v>4</v>
      </c>
      <c r="M45" s="14">
        <f>169*(1-P3/100)</f>
        <v>169</v>
      </c>
      <c r="N45" s="15"/>
      <c r="O45" s="13">
        <f t="shared" si="1"/>
        <v>0</v>
      </c>
      <c r="P45" s="32">
        <f>0.11*N45</f>
        <v>0</v>
      </c>
      <c r="Q45" s="23">
        <f>0.00022*N45</f>
        <v>0</v>
      </c>
      <c r="R45" s="24"/>
      <c r="S45" s="25" t="s">
        <v>185</v>
      </c>
      <c r="T45" s="25" t="s">
        <v>43</v>
      </c>
      <c r="U45" s="5"/>
      <c r="V45" s="5" t="s">
        <v>186</v>
      </c>
      <c r="W45" s="5" t="s">
        <v>46</v>
      </c>
      <c r="X45" s="5"/>
      <c r="Y45" s="5"/>
      <c r="Z45" s="5" t="str">
        <f>HYPERLINK("https://knigipp.ru/api/getInfo/image/593810d2-8413-11f0-a284-00155d82e908")</f>
        <v>https://knigipp.ru/api/getInfo/image/593810d2-8413-11f0-a284-00155d82e908</v>
      </c>
      <c r="AA45" s="33">
        <v>10</v>
      </c>
      <c r="AB45" s="5" t="s">
        <v>47</v>
      </c>
      <c r="AC45" s="5" t="s">
        <v>140</v>
      </c>
      <c r="AD45" s="5"/>
      <c r="AE45" s="5" t="s">
        <v>49</v>
      </c>
      <c r="AF45" s="5"/>
      <c r="AG45" s="5"/>
      <c r="AH45" s="5" t="s">
        <v>176</v>
      </c>
    </row>
    <row r="46" spans="2:34" ht="21" customHeight="1" outlineLevel="3" x14ac:dyDescent="0.2">
      <c r="B46" s="4">
        <v>22</v>
      </c>
      <c r="C46" s="5" t="s">
        <v>187</v>
      </c>
      <c r="D46" s="5" t="s">
        <v>188</v>
      </c>
      <c r="E46" s="6" t="s">
        <v>189</v>
      </c>
      <c r="F46" s="10"/>
      <c r="G46" s="11" t="s">
        <v>173</v>
      </c>
      <c r="H46" s="12">
        <v>40</v>
      </c>
      <c r="I46" s="13" t="s">
        <v>41</v>
      </c>
      <c r="J46" s="13"/>
      <c r="K46" s="13"/>
      <c r="L46" s="4">
        <v>4</v>
      </c>
      <c r="M46" s="14">
        <f>169*(1-P3/100)</f>
        <v>169</v>
      </c>
      <c r="N46" s="15"/>
      <c r="O46" s="13">
        <f t="shared" si="1"/>
        <v>0</v>
      </c>
      <c r="P46" s="22">
        <f>0.117*N46</f>
        <v>0</v>
      </c>
      <c r="Q46" s="23">
        <f>0.00015*N46</f>
        <v>0</v>
      </c>
      <c r="R46" s="24"/>
      <c r="S46" s="25" t="s">
        <v>190</v>
      </c>
      <c r="T46" s="25" t="s">
        <v>43</v>
      </c>
      <c r="U46" s="5"/>
      <c r="V46" s="5" t="s">
        <v>191</v>
      </c>
      <c r="W46" s="5" t="s">
        <v>46</v>
      </c>
      <c r="X46" s="5"/>
      <c r="Y46" s="5"/>
      <c r="Z46" s="5" t="str">
        <f>HYPERLINK("https://knigipp.ru/api/getInfo/image/105b873e-8414-11f0-a284-00155d82e908")</f>
        <v>https://knigipp.ru/api/getInfo/image/105b873e-8414-11f0-a284-00155d82e908</v>
      </c>
      <c r="AA46" s="33">
        <v>10</v>
      </c>
      <c r="AB46" s="5" t="s">
        <v>47</v>
      </c>
      <c r="AC46" s="5" t="s">
        <v>140</v>
      </c>
      <c r="AD46" s="5"/>
      <c r="AE46" s="5" t="s">
        <v>49</v>
      </c>
      <c r="AF46" s="5"/>
      <c r="AG46" s="5"/>
      <c r="AH46" s="5" t="s">
        <v>176</v>
      </c>
    </row>
    <row r="47" spans="2:34" ht="21" customHeight="1" outlineLevel="3" x14ac:dyDescent="0.2">
      <c r="B47" s="4">
        <v>23</v>
      </c>
      <c r="C47" s="5" t="s">
        <v>192</v>
      </c>
      <c r="D47" s="5" t="s">
        <v>193</v>
      </c>
      <c r="E47" s="6" t="s">
        <v>194</v>
      </c>
      <c r="F47" s="10"/>
      <c r="G47" s="11" t="s">
        <v>173</v>
      </c>
      <c r="H47" s="12">
        <v>40</v>
      </c>
      <c r="I47" s="13" t="s">
        <v>41</v>
      </c>
      <c r="J47" s="13"/>
      <c r="K47" s="13"/>
      <c r="L47" s="4">
        <v>4</v>
      </c>
      <c r="M47" s="14">
        <f>169*(1-P3/100)</f>
        <v>169</v>
      </c>
      <c r="N47" s="15"/>
      <c r="O47" s="13">
        <f t="shared" si="1"/>
        <v>0</v>
      </c>
      <c r="P47" s="22">
        <f>0.101*N47</f>
        <v>0</v>
      </c>
      <c r="Q47" s="23">
        <f>0.00036*N47</f>
        <v>0</v>
      </c>
      <c r="R47" s="24"/>
      <c r="S47" s="25" t="s">
        <v>195</v>
      </c>
      <c r="T47" s="25" t="s">
        <v>43</v>
      </c>
      <c r="U47" s="5"/>
      <c r="V47" s="5" t="s">
        <v>196</v>
      </c>
      <c r="W47" s="5" t="s">
        <v>46</v>
      </c>
      <c r="X47" s="5"/>
      <c r="Y47" s="5"/>
      <c r="Z47" s="5" t="str">
        <f>HYPERLINK("https://knigipp.ru/api/getInfo/image/796c5004-8414-11f0-a284-00155d82e908")</f>
        <v>https://knigipp.ru/api/getInfo/image/796c5004-8414-11f0-a284-00155d82e908</v>
      </c>
      <c r="AA47" s="33">
        <v>10</v>
      </c>
      <c r="AB47" s="5" t="s">
        <v>47</v>
      </c>
      <c r="AC47" s="5" t="s">
        <v>140</v>
      </c>
      <c r="AD47" s="5"/>
      <c r="AE47" s="5" t="s">
        <v>49</v>
      </c>
      <c r="AF47" s="5"/>
      <c r="AG47" s="5"/>
      <c r="AH47" s="5" t="s">
        <v>176</v>
      </c>
    </row>
    <row r="48" spans="2:34" ht="21" customHeight="1" outlineLevel="3" x14ac:dyDescent="0.2">
      <c r="B48" s="4">
        <v>24</v>
      </c>
      <c r="C48" s="5" t="s">
        <v>197</v>
      </c>
      <c r="D48" s="5" t="s">
        <v>198</v>
      </c>
      <c r="E48" s="6" t="s">
        <v>199</v>
      </c>
      <c r="F48" s="10"/>
      <c r="G48" s="11" t="s">
        <v>173</v>
      </c>
      <c r="H48" s="12">
        <v>40</v>
      </c>
      <c r="I48" s="13" t="s">
        <v>41</v>
      </c>
      <c r="J48" s="13"/>
      <c r="K48" s="13"/>
      <c r="L48" s="4">
        <v>4</v>
      </c>
      <c r="M48" s="14">
        <f>169*(1-P3/100)</f>
        <v>169</v>
      </c>
      <c r="N48" s="15"/>
      <c r="O48" s="13">
        <f t="shared" si="1"/>
        <v>0</v>
      </c>
      <c r="P48" s="32">
        <f>0.11*N48</f>
        <v>0</v>
      </c>
      <c r="Q48" s="23">
        <f>0.00022*N48</f>
        <v>0</v>
      </c>
      <c r="R48" s="24"/>
      <c r="S48" s="25" t="s">
        <v>200</v>
      </c>
      <c r="T48" s="25" t="s">
        <v>43</v>
      </c>
      <c r="U48" s="5"/>
      <c r="V48" s="5" t="s">
        <v>201</v>
      </c>
      <c r="W48" s="5" t="s">
        <v>46</v>
      </c>
      <c r="X48" s="5"/>
      <c r="Y48" s="5"/>
      <c r="Z48" s="5" t="str">
        <f>HYPERLINK("https://knigipp.ru/api/getInfo/image/191a96e1-8413-11f0-a284-00155d82e908")</f>
        <v>https://knigipp.ru/api/getInfo/image/191a96e1-8413-11f0-a284-00155d82e908</v>
      </c>
      <c r="AA48" s="33">
        <v>10</v>
      </c>
      <c r="AB48" s="5" t="s">
        <v>47</v>
      </c>
      <c r="AC48" s="5" t="s">
        <v>140</v>
      </c>
      <c r="AD48" s="5"/>
      <c r="AE48" s="5" t="s">
        <v>49</v>
      </c>
      <c r="AF48" s="5"/>
      <c r="AG48" s="5"/>
      <c r="AH48" s="5" t="s">
        <v>176</v>
      </c>
    </row>
    <row r="49" spans="2:34" ht="21" customHeight="1" outlineLevel="3" x14ac:dyDescent="0.2">
      <c r="B49" s="4">
        <v>25</v>
      </c>
      <c r="C49" s="5" t="s">
        <v>202</v>
      </c>
      <c r="D49" s="5" t="s">
        <v>203</v>
      </c>
      <c r="E49" s="6" t="s">
        <v>204</v>
      </c>
      <c r="F49" s="10"/>
      <c r="G49" s="11" t="s">
        <v>173</v>
      </c>
      <c r="H49" s="12">
        <v>40</v>
      </c>
      <c r="I49" s="13" t="s">
        <v>41</v>
      </c>
      <c r="J49" s="13"/>
      <c r="K49" s="13"/>
      <c r="L49" s="4">
        <v>4</v>
      </c>
      <c r="M49" s="14">
        <f>169*(1-P3/100)</f>
        <v>169</v>
      </c>
      <c r="N49" s="15"/>
      <c r="O49" s="13">
        <f t="shared" si="1"/>
        <v>0</v>
      </c>
      <c r="P49" s="22">
        <f>0.098*N49</f>
        <v>0</v>
      </c>
      <c r="Q49" s="23">
        <f>0.00029*N49</f>
        <v>0</v>
      </c>
      <c r="R49" s="24"/>
      <c r="S49" s="25" t="s">
        <v>205</v>
      </c>
      <c r="T49" s="25" t="s">
        <v>43</v>
      </c>
      <c r="U49" s="5"/>
      <c r="V49" s="5" t="s">
        <v>206</v>
      </c>
      <c r="W49" s="5" t="s">
        <v>46</v>
      </c>
      <c r="X49" s="5"/>
      <c r="Y49" s="5"/>
      <c r="Z49" s="5" t="str">
        <f>HYPERLINK("https://knigipp.ru/api/getInfo/image/aedd94ca-8414-11f0-a284-00155d82e908")</f>
        <v>https://knigipp.ru/api/getInfo/image/aedd94ca-8414-11f0-a284-00155d82e908</v>
      </c>
      <c r="AA49" s="33">
        <v>10</v>
      </c>
      <c r="AB49" s="5" t="s">
        <v>47</v>
      </c>
      <c r="AC49" s="5" t="s">
        <v>140</v>
      </c>
      <c r="AD49" s="5"/>
      <c r="AE49" s="5" t="s">
        <v>49</v>
      </c>
      <c r="AF49" s="5"/>
      <c r="AG49" s="5"/>
      <c r="AH49" s="5" t="s">
        <v>176</v>
      </c>
    </row>
    <row r="50" spans="2:34" ht="21" customHeight="1" outlineLevel="3" x14ac:dyDescent="0.2">
      <c r="B50" s="4">
        <v>26</v>
      </c>
      <c r="C50" s="5" t="s">
        <v>207</v>
      </c>
      <c r="D50" s="5" t="s">
        <v>208</v>
      </c>
      <c r="E50" s="6" t="s">
        <v>209</v>
      </c>
      <c r="F50" s="10"/>
      <c r="G50" s="11" t="s">
        <v>173</v>
      </c>
      <c r="H50" s="12">
        <v>40</v>
      </c>
      <c r="I50" s="13" t="s">
        <v>41</v>
      </c>
      <c r="J50" s="13"/>
      <c r="K50" s="13"/>
      <c r="L50" s="4">
        <v>4</v>
      </c>
      <c r="M50" s="14">
        <f>169*(1-P3/100)</f>
        <v>169</v>
      </c>
      <c r="N50" s="15"/>
      <c r="O50" s="13">
        <f t="shared" si="1"/>
        <v>0</v>
      </c>
      <c r="P50" s="22">
        <f>0.117*N50</f>
        <v>0</v>
      </c>
      <c r="Q50" s="23">
        <f>0.00015*N50</f>
        <v>0</v>
      </c>
      <c r="R50" s="24"/>
      <c r="S50" s="25" t="s">
        <v>210</v>
      </c>
      <c r="T50" s="25" t="s">
        <v>43</v>
      </c>
      <c r="U50" s="5" t="s">
        <v>157</v>
      </c>
      <c r="V50" s="5" t="s">
        <v>211</v>
      </c>
      <c r="W50" s="5" t="s">
        <v>46</v>
      </c>
      <c r="X50" s="5"/>
      <c r="Y50" s="5"/>
      <c r="Z50" s="5" t="str">
        <f>HYPERLINK("https://knigipp.ru/api/getInfo/image/dca8916f-8413-11f0-a284-00155d82e908")</f>
        <v>https://knigipp.ru/api/getInfo/image/dca8916f-8413-11f0-a284-00155d82e908</v>
      </c>
      <c r="AA50" s="33">
        <v>10</v>
      </c>
      <c r="AB50" s="5" t="s">
        <v>47</v>
      </c>
      <c r="AC50" s="5" t="s">
        <v>140</v>
      </c>
      <c r="AD50" s="5"/>
      <c r="AE50" s="5" t="s">
        <v>49</v>
      </c>
      <c r="AF50" s="5"/>
      <c r="AG50" s="5"/>
      <c r="AH50" s="5" t="s">
        <v>176</v>
      </c>
    </row>
    <row r="51" spans="2:34" ht="22.95" customHeight="1" outlineLevel="2" x14ac:dyDescent="0.2">
      <c r="B51" s="73" t="s">
        <v>212</v>
      </c>
      <c r="C51" s="73"/>
      <c r="D51" s="73"/>
    </row>
    <row r="52" spans="2:34" ht="21" customHeight="1" outlineLevel="3" x14ac:dyDescent="0.2">
      <c r="B52" s="4">
        <v>27</v>
      </c>
      <c r="C52" s="5" t="s">
        <v>213</v>
      </c>
      <c r="D52" s="5" t="s">
        <v>214</v>
      </c>
      <c r="E52" s="6" t="s">
        <v>215</v>
      </c>
      <c r="F52" s="10"/>
      <c r="G52" s="11" t="s">
        <v>216</v>
      </c>
      <c r="H52" s="12">
        <v>20</v>
      </c>
      <c r="I52" s="13" t="s">
        <v>41</v>
      </c>
      <c r="J52" s="13"/>
      <c r="K52" s="13"/>
      <c r="L52" s="4">
        <v>3</v>
      </c>
      <c r="M52" s="14">
        <f>227*(1-P3/100)</f>
        <v>227</v>
      </c>
      <c r="N52" s="15"/>
      <c r="O52" s="13">
        <f>M52*N52</f>
        <v>0</v>
      </c>
      <c r="P52" s="22">
        <f>0.074*N52</f>
        <v>0</v>
      </c>
      <c r="Q52" s="23">
        <f>0.00015*N52</f>
        <v>0</v>
      </c>
      <c r="R52" s="24"/>
      <c r="S52" s="25" t="s">
        <v>217</v>
      </c>
      <c r="T52" s="25" t="s">
        <v>43</v>
      </c>
      <c r="U52" s="5"/>
      <c r="V52" s="5" t="s">
        <v>218</v>
      </c>
      <c r="W52" s="5" t="s">
        <v>46</v>
      </c>
      <c r="X52" s="5"/>
      <c r="Y52" s="5"/>
      <c r="Z52" s="5" t="str">
        <f>HYPERLINK("https://knigipp.ru/api/getInfo/image/17a0cf5c-55a4-11f0-a27e-00155d82e908")</f>
        <v>https://knigipp.ru/api/getInfo/image/17a0cf5c-55a4-11f0-a27e-00155d82e908</v>
      </c>
      <c r="AA52" s="33">
        <v>10</v>
      </c>
      <c r="AB52" s="5" t="s">
        <v>47</v>
      </c>
      <c r="AC52" s="5" t="s">
        <v>219</v>
      </c>
      <c r="AD52" s="5"/>
      <c r="AE52" s="5" t="s">
        <v>49</v>
      </c>
      <c r="AF52" s="5"/>
      <c r="AG52" s="5"/>
      <c r="AH52" s="5" t="s">
        <v>220</v>
      </c>
    </row>
    <row r="53" spans="2:34" ht="21" customHeight="1" outlineLevel="3" x14ac:dyDescent="0.2">
      <c r="B53" s="4">
        <v>28</v>
      </c>
      <c r="C53" s="5" t="s">
        <v>221</v>
      </c>
      <c r="D53" s="5" t="s">
        <v>222</v>
      </c>
      <c r="E53" s="6" t="s">
        <v>223</v>
      </c>
      <c r="F53" s="10"/>
      <c r="G53" s="11" t="s">
        <v>216</v>
      </c>
      <c r="H53" s="12">
        <v>20</v>
      </c>
      <c r="I53" s="13" t="s">
        <v>41</v>
      </c>
      <c r="J53" s="13"/>
      <c r="K53" s="13"/>
      <c r="L53" s="4">
        <v>3</v>
      </c>
      <c r="M53" s="14">
        <f>227*(1-P3/100)</f>
        <v>227</v>
      </c>
      <c r="N53" s="15"/>
      <c r="O53" s="13">
        <f>M53*N53</f>
        <v>0</v>
      </c>
      <c r="P53" s="22">
        <f>0.074*N53</f>
        <v>0</v>
      </c>
      <c r="Q53" s="23">
        <f>0.00015*N53</f>
        <v>0</v>
      </c>
      <c r="R53" s="24"/>
      <c r="S53" s="25" t="s">
        <v>224</v>
      </c>
      <c r="T53" s="25" t="s">
        <v>43</v>
      </c>
      <c r="U53" s="5"/>
      <c r="V53" s="5" t="s">
        <v>225</v>
      </c>
      <c r="W53" s="5" t="s">
        <v>46</v>
      </c>
      <c r="X53" s="5"/>
      <c r="Y53" s="5"/>
      <c r="Z53" s="5" t="str">
        <f>HYPERLINK("https://knigipp.ru/api/getInfo/image/8070cc51-55a4-11f0-a27e-00155d82e908")</f>
        <v>https://knigipp.ru/api/getInfo/image/8070cc51-55a4-11f0-a27e-00155d82e908</v>
      </c>
      <c r="AA53" s="33">
        <v>10</v>
      </c>
      <c r="AB53" s="5" t="s">
        <v>47</v>
      </c>
      <c r="AC53" s="5" t="s">
        <v>219</v>
      </c>
      <c r="AD53" s="5"/>
      <c r="AE53" s="5" t="s">
        <v>49</v>
      </c>
      <c r="AF53" s="5"/>
      <c r="AG53" s="5"/>
      <c r="AH53" s="5" t="s">
        <v>220</v>
      </c>
    </row>
    <row r="54" spans="2:34" ht="21" customHeight="1" outlineLevel="3" x14ac:dyDescent="0.2">
      <c r="B54" s="4">
        <v>29</v>
      </c>
      <c r="C54" s="5" t="s">
        <v>226</v>
      </c>
      <c r="D54" s="5" t="s">
        <v>227</v>
      </c>
      <c r="E54" s="6" t="s">
        <v>228</v>
      </c>
      <c r="F54" s="10"/>
      <c r="G54" s="11" t="s">
        <v>216</v>
      </c>
      <c r="H54" s="12">
        <v>20</v>
      </c>
      <c r="I54" s="13" t="s">
        <v>41</v>
      </c>
      <c r="J54" s="13"/>
      <c r="K54" s="13"/>
      <c r="L54" s="4">
        <v>3</v>
      </c>
      <c r="M54" s="14">
        <f>227*(1-P3/100)</f>
        <v>227</v>
      </c>
      <c r="N54" s="15"/>
      <c r="O54" s="13">
        <f>M54*N54</f>
        <v>0</v>
      </c>
      <c r="P54" s="22">
        <f>0.069*N54</f>
        <v>0</v>
      </c>
      <c r="Q54" s="23">
        <f>0.00015*N54</f>
        <v>0</v>
      </c>
      <c r="R54" s="24"/>
      <c r="S54" s="25" t="s">
        <v>229</v>
      </c>
      <c r="T54" s="25" t="s">
        <v>43</v>
      </c>
      <c r="U54" s="5"/>
      <c r="V54" s="5" t="s">
        <v>230</v>
      </c>
      <c r="W54" s="5" t="s">
        <v>46</v>
      </c>
      <c r="X54" s="5"/>
      <c r="Y54" s="5"/>
      <c r="Z54" s="5" t="str">
        <f>HYPERLINK("https://knigipp.ru/api/getInfo/image/4cee86ef-55a4-11f0-a27e-00155d82e908")</f>
        <v>https://knigipp.ru/api/getInfo/image/4cee86ef-55a4-11f0-a27e-00155d82e908</v>
      </c>
      <c r="AA54" s="33">
        <v>10</v>
      </c>
      <c r="AB54" s="5" t="s">
        <v>47</v>
      </c>
      <c r="AC54" s="5" t="s">
        <v>219</v>
      </c>
      <c r="AD54" s="5"/>
      <c r="AE54" s="5" t="s">
        <v>49</v>
      </c>
      <c r="AF54" s="5"/>
      <c r="AG54" s="5"/>
      <c r="AH54" s="5" t="s">
        <v>220</v>
      </c>
    </row>
    <row r="55" spans="2:34" ht="22.95" customHeight="1" outlineLevel="2" x14ac:dyDescent="0.2">
      <c r="B55" s="73" t="s">
        <v>231</v>
      </c>
      <c r="C55" s="73"/>
      <c r="D55" s="73"/>
    </row>
    <row r="56" spans="2:34" ht="22.95" customHeight="1" outlineLevel="3" x14ac:dyDescent="0.2">
      <c r="B56" s="74" t="s">
        <v>232</v>
      </c>
      <c r="C56" s="74"/>
      <c r="D56" s="74"/>
    </row>
    <row r="57" spans="2:34" ht="21" customHeight="1" outlineLevel="4" x14ac:dyDescent="0.2">
      <c r="B57" s="4">
        <v>30</v>
      </c>
      <c r="C57" s="5" t="s">
        <v>233</v>
      </c>
      <c r="D57" s="5" t="s">
        <v>234</v>
      </c>
      <c r="E57" s="6" t="s">
        <v>235</v>
      </c>
      <c r="F57" s="10"/>
      <c r="G57" s="11" t="s">
        <v>236</v>
      </c>
      <c r="H57" s="12">
        <v>50</v>
      </c>
      <c r="I57" s="13" t="s">
        <v>41</v>
      </c>
      <c r="J57" s="13"/>
      <c r="K57" s="13"/>
      <c r="L57" s="4">
        <v>10</v>
      </c>
      <c r="M57" s="14">
        <f>70.32*(1-P3/100)</f>
        <v>70.319999999999993</v>
      </c>
      <c r="N57" s="15"/>
      <c r="O57" s="13">
        <f>M57*N57</f>
        <v>0</v>
      </c>
      <c r="P57" s="32">
        <f>0.05*N57</f>
        <v>0</v>
      </c>
      <c r="Q57" s="23">
        <f>0.00011*N57</f>
        <v>0</v>
      </c>
      <c r="R57" s="24"/>
      <c r="S57" s="25" t="s">
        <v>237</v>
      </c>
      <c r="T57" s="25" t="s">
        <v>43</v>
      </c>
      <c r="U57" s="5"/>
      <c r="V57" s="5"/>
      <c r="W57" s="5" t="s">
        <v>46</v>
      </c>
      <c r="X57" s="5"/>
      <c r="Y57" s="5"/>
      <c r="Z57" s="5" t="str">
        <f>HYPERLINK("https://knigipp.ru/api/getInfo/image/968d4ba5-7783-11eb-a273-ac1f6b442184")</f>
        <v>https://knigipp.ru/api/getInfo/image/968d4ba5-7783-11eb-a273-ac1f6b442184</v>
      </c>
      <c r="AA57" s="33">
        <v>16</v>
      </c>
      <c r="AB57" s="5"/>
      <c r="AC57" s="5" t="s">
        <v>96</v>
      </c>
      <c r="AD57" s="5"/>
      <c r="AE57" s="5" t="s">
        <v>49</v>
      </c>
      <c r="AF57" s="5"/>
      <c r="AG57" s="5"/>
      <c r="AH57" s="5" t="s">
        <v>238</v>
      </c>
    </row>
    <row r="58" spans="2:34" ht="21" customHeight="1" outlineLevel="4" x14ac:dyDescent="0.2">
      <c r="B58" s="4">
        <v>31</v>
      </c>
      <c r="C58" s="5" t="s">
        <v>239</v>
      </c>
      <c r="D58" s="5" t="s">
        <v>240</v>
      </c>
      <c r="E58" s="6" t="s">
        <v>241</v>
      </c>
      <c r="F58" s="10"/>
      <c r="G58" s="11" t="s">
        <v>236</v>
      </c>
      <c r="H58" s="12">
        <v>50</v>
      </c>
      <c r="I58" s="13" t="s">
        <v>41</v>
      </c>
      <c r="J58" s="13"/>
      <c r="K58" s="13"/>
      <c r="L58" s="4">
        <v>10</v>
      </c>
      <c r="M58" s="14">
        <f>70.32*(1-P3/100)</f>
        <v>70.319999999999993</v>
      </c>
      <c r="N58" s="15"/>
      <c r="O58" s="13">
        <f>M58*N58</f>
        <v>0</v>
      </c>
      <c r="P58" s="32">
        <f>0.05*N58</f>
        <v>0</v>
      </c>
      <c r="Q58" s="23">
        <f>0.00011*N58</f>
        <v>0</v>
      </c>
      <c r="R58" s="24"/>
      <c r="S58" s="25" t="s">
        <v>242</v>
      </c>
      <c r="T58" s="25" t="s">
        <v>43</v>
      </c>
      <c r="U58" s="5"/>
      <c r="V58" s="5"/>
      <c r="W58" s="5" t="s">
        <v>46</v>
      </c>
      <c r="X58" s="5"/>
      <c r="Y58" s="5"/>
      <c r="Z58" s="5" t="str">
        <f>HYPERLINK("https://knigipp.ru/api/getInfo/image/f56355cb-7783-11eb-a273-ac1f6b442184")</f>
        <v>https://knigipp.ru/api/getInfo/image/f56355cb-7783-11eb-a273-ac1f6b442184</v>
      </c>
      <c r="AA58" s="33">
        <v>16</v>
      </c>
      <c r="AB58" s="5"/>
      <c r="AC58" s="5" t="s">
        <v>96</v>
      </c>
      <c r="AD58" s="5"/>
      <c r="AE58" s="5" t="s">
        <v>49</v>
      </c>
      <c r="AF58" s="5"/>
      <c r="AG58" s="5"/>
      <c r="AH58" s="5" t="s">
        <v>238</v>
      </c>
    </row>
    <row r="59" spans="2:34" ht="21" customHeight="1" outlineLevel="4" x14ac:dyDescent="0.2">
      <c r="B59" s="4">
        <v>32</v>
      </c>
      <c r="C59" s="5" t="s">
        <v>243</v>
      </c>
      <c r="D59" s="5" t="s">
        <v>244</v>
      </c>
      <c r="E59" s="6" t="s">
        <v>245</v>
      </c>
      <c r="F59" s="10"/>
      <c r="G59" s="11" t="s">
        <v>236</v>
      </c>
      <c r="H59" s="12">
        <v>50</v>
      </c>
      <c r="I59" s="13" t="s">
        <v>41</v>
      </c>
      <c r="J59" s="13"/>
      <c r="K59" s="13"/>
      <c r="L59" s="4">
        <v>10</v>
      </c>
      <c r="M59" s="14">
        <f>70.32*(1-P3/100)</f>
        <v>70.319999999999993</v>
      </c>
      <c r="N59" s="15"/>
      <c r="O59" s="13">
        <f>M59*N59</f>
        <v>0</v>
      </c>
      <c r="P59" s="32">
        <f>0.05*N59</f>
        <v>0</v>
      </c>
      <c r="Q59" s="23">
        <f>0.00011*N59</f>
        <v>0</v>
      </c>
      <c r="R59" s="24"/>
      <c r="S59" s="25" t="s">
        <v>246</v>
      </c>
      <c r="T59" s="25" t="s">
        <v>43</v>
      </c>
      <c r="U59" s="5"/>
      <c r="V59" s="5"/>
      <c r="W59" s="5" t="s">
        <v>46</v>
      </c>
      <c r="X59" s="5"/>
      <c r="Y59" s="5"/>
      <c r="Z59" s="5" t="str">
        <f>HYPERLINK("https://knigipp.ru/api/getInfo/image/18c815c8-7784-11eb-a273-ac1f6b442184")</f>
        <v>https://knigipp.ru/api/getInfo/image/18c815c8-7784-11eb-a273-ac1f6b442184</v>
      </c>
      <c r="AA59" s="33">
        <v>16</v>
      </c>
      <c r="AB59" s="5"/>
      <c r="AC59" s="5" t="s">
        <v>96</v>
      </c>
      <c r="AD59" s="5"/>
      <c r="AE59" s="5" t="s">
        <v>49</v>
      </c>
      <c r="AF59" s="5"/>
      <c r="AG59" s="5"/>
      <c r="AH59" s="5" t="s">
        <v>238</v>
      </c>
    </row>
    <row r="60" spans="2:34" ht="22.95" customHeight="1" outlineLevel="2" x14ac:dyDescent="0.2">
      <c r="B60" s="73" t="s">
        <v>247</v>
      </c>
      <c r="C60" s="73"/>
      <c r="D60" s="73"/>
    </row>
    <row r="61" spans="2:34" ht="21" customHeight="1" outlineLevel="3" x14ac:dyDescent="0.2">
      <c r="B61" s="4">
        <v>33</v>
      </c>
      <c r="C61" s="5" t="s">
        <v>248</v>
      </c>
      <c r="D61" s="5" t="s">
        <v>249</v>
      </c>
      <c r="E61" s="6" t="s">
        <v>250</v>
      </c>
      <c r="F61" s="10"/>
      <c r="G61" s="11" t="s">
        <v>251</v>
      </c>
      <c r="H61" s="12">
        <v>20</v>
      </c>
      <c r="I61" s="13" t="s">
        <v>41</v>
      </c>
      <c r="J61" s="13"/>
      <c r="K61" s="13"/>
      <c r="L61" s="4">
        <v>6</v>
      </c>
      <c r="M61" s="14">
        <f>129.7*(1-P3/100)</f>
        <v>129.69999999999999</v>
      </c>
      <c r="N61" s="15"/>
      <c r="O61" s="13">
        <f>M61*N61</f>
        <v>0</v>
      </c>
      <c r="P61" s="32">
        <f>0.22*N61</f>
        <v>0</v>
      </c>
      <c r="Q61" s="23">
        <f>0.00029*N61</f>
        <v>0</v>
      </c>
      <c r="R61" s="24"/>
      <c r="S61" s="25" t="s">
        <v>252</v>
      </c>
      <c r="T61" s="25" t="s">
        <v>43</v>
      </c>
      <c r="U61" s="5"/>
      <c r="V61" s="5"/>
      <c r="W61" s="5" t="s">
        <v>46</v>
      </c>
      <c r="X61" s="5" t="s">
        <v>253</v>
      </c>
      <c r="Y61" s="5"/>
      <c r="Z61" s="5" t="str">
        <f>HYPERLINK("https://knigipp.ru/api/getInfo/image/98b1fc0f-8273-11e7-8697-5cf3fc4a2490")</f>
        <v>https://knigipp.ru/api/getInfo/image/98b1fc0f-8273-11e7-8697-5cf3fc4a2490</v>
      </c>
      <c r="AA61" s="33">
        <v>10</v>
      </c>
      <c r="AB61" s="5"/>
      <c r="AC61" s="5" t="s">
        <v>140</v>
      </c>
      <c r="AD61" s="5"/>
      <c r="AE61" s="5" t="s">
        <v>49</v>
      </c>
      <c r="AF61" s="5"/>
      <c r="AG61" s="5" t="s">
        <v>254</v>
      </c>
      <c r="AH61" s="5" t="s">
        <v>255</v>
      </c>
    </row>
    <row r="62" spans="2:34" ht="22.95" customHeight="1" outlineLevel="3" x14ac:dyDescent="0.2">
      <c r="B62" s="74" t="s">
        <v>256</v>
      </c>
      <c r="C62" s="74"/>
      <c r="D62" s="74"/>
    </row>
    <row r="63" spans="2:34" ht="21" customHeight="1" outlineLevel="4" x14ac:dyDescent="0.2">
      <c r="B63" s="4">
        <v>34</v>
      </c>
      <c r="C63" s="5" t="s">
        <v>257</v>
      </c>
      <c r="D63" s="5" t="s">
        <v>258</v>
      </c>
      <c r="E63" s="6" t="s">
        <v>259</v>
      </c>
      <c r="F63" s="10"/>
      <c r="G63" s="11" t="s">
        <v>260</v>
      </c>
      <c r="H63" s="12">
        <v>50</v>
      </c>
      <c r="I63" s="13" t="s">
        <v>261</v>
      </c>
      <c r="J63" s="13"/>
      <c r="K63" s="13"/>
      <c r="L63" s="4">
        <v>8</v>
      </c>
      <c r="M63" s="14">
        <f>77.49*(1-P3/100)</f>
        <v>77.489999999999995</v>
      </c>
      <c r="N63" s="15"/>
      <c r="O63" s="13">
        <f>M63*N63</f>
        <v>0</v>
      </c>
      <c r="P63" s="32">
        <f>0.07*N63</f>
        <v>0</v>
      </c>
      <c r="Q63" s="23">
        <f>0.00011*N63</f>
        <v>0</v>
      </c>
      <c r="R63" s="24"/>
      <c r="S63" s="25" t="s">
        <v>262</v>
      </c>
      <c r="T63" s="25" t="s">
        <v>43</v>
      </c>
      <c r="U63" s="5"/>
      <c r="V63" s="5"/>
      <c r="W63" s="5" t="s">
        <v>46</v>
      </c>
      <c r="X63" s="5" t="s">
        <v>263</v>
      </c>
      <c r="Y63" s="5"/>
      <c r="Z63" s="5" t="str">
        <f>HYPERLINK("https://knigipp.ru/api/getInfo/image/a2b0c0ca-447b-11e7-977d-5cf3fc4a2490")</f>
        <v>https://knigipp.ru/api/getInfo/image/a2b0c0ca-447b-11e7-977d-5cf3fc4a2490</v>
      </c>
      <c r="AA63" s="33">
        <v>16</v>
      </c>
      <c r="AB63" s="5"/>
      <c r="AC63" s="5" t="s">
        <v>96</v>
      </c>
      <c r="AD63" s="5"/>
      <c r="AE63" s="5" t="s">
        <v>49</v>
      </c>
      <c r="AF63" s="5"/>
      <c r="AG63" s="5" t="s">
        <v>264</v>
      </c>
      <c r="AH63" s="5" t="s">
        <v>238</v>
      </c>
    </row>
    <row r="64" spans="2:34" ht="21" customHeight="1" outlineLevel="4" x14ac:dyDescent="0.2">
      <c r="B64" s="4">
        <v>35</v>
      </c>
      <c r="C64" s="5" t="s">
        <v>265</v>
      </c>
      <c r="D64" s="5" t="s">
        <v>266</v>
      </c>
      <c r="E64" s="6" t="s">
        <v>267</v>
      </c>
      <c r="F64" s="10"/>
      <c r="G64" s="11" t="s">
        <v>260</v>
      </c>
      <c r="H64" s="12">
        <v>50</v>
      </c>
      <c r="I64" s="13" t="s">
        <v>261</v>
      </c>
      <c r="J64" s="13"/>
      <c r="K64" s="13"/>
      <c r="L64" s="4">
        <v>8</v>
      </c>
      <c r="M64" s="14">
        <f>77.49*(1-P3/100)</f>
        <v>77.489999999999995</v>
      </c>
      <c r="N64" s="15"/>
      <c r="O64" s="13">
        <f>M64*N64</f>
        <v>0</v>
      </c>
      <c r="P64" s="32">
        <f>0.07*N64</f>
        <v>0</v>
      </c>
      <c r="Q64" s="23">
        <f>0.00011*N64</f>
        <v>0</v>
      </c>
      <c r="R64" s="24"/>
      <c r="S64" s="25" t="s">
        <v>268</v>
      </c>
      <c r="T64" s="25" t="s">
        <v>43</v>
      </c>
      <c r="U64" s="5"/>
      <c r="V64" s="5"/>
      <c r="W64" s="5" t="s">
        <v>46</v>
      </c>
      <c r="X64" s="5" t="s">
        <v>263</v>
      </c>
      <c r="Y64" s="5"/>
      <c r="Z64" s="5" t="str">
        <f>HYPERLINK("https://knigipp.ru/api/getInfo/image/bde5bb2b-447b-11e7-977d-5cf3fc4a2490")</f>
        <v>https://knigipp.ru/api/getInfo/image/bde5bb2b-447b-11e7-977d-5cf3fc4a2490</v>
      </c>
      <c r="AA64" s="33">
        <v>16</v>
      </c>
      <c r="AB64" s="5"/>
      <c r="AC64" s="5" t="s">
        <v>96</v>
      </c>
      <c r="AD64" s="5"/>
      <c r="AE64" s="5" t="s">
        <v>49</v>
      </c>
      <c r="AF64" s="5"/>
      <c r="AG64" s="5" t="s">
        <v>264</v>
      </c>
      <c r="AH64" s="5" t="s">
        <v>238</v>
      </c>
    </row>
    <row r="65" spans="2:34" ht="21" customHeight="1" outlineLevel="4" x14ac:dyDescent="0.2">
      <c r="B65" s="4">
        <v>36</v>
      </c>
      <c r="C65" s="5" t="s">
        <v>269</v>
      </c>
      <c r="D65" s="5" t="s">
        <v>270</v>
      </c>
      <c r="E65" s="6" t="s">
        <v>271</v>
      </c>
      <c r="F65" s="10"/>
      <c r="G65" s="11" t="s">
        <v>260</v>
      </c>
      <c r="H65" s="12">
        <v>50</v>
      </c>
      <c r="I65" s="13" t="s">
        <v>41</v>
      </c>
      <c r="J65" s="13"/>
      <c r="K65" s="13"/>
      <c r="L65" s="4">
        <v>8</v>
      </c>
      <c r="M65" s="14">
        <f>77.49*(1-P3/100)</f>
        <v>77.489999999999995</v>
      </c>
      <c r="N65" s="15"/>
      <c r="O65" s="13">
        <f>M65*N65</f>
        <v>0</v>
      </c>
      <c r="P65" s="22">
        <f>0.076*N65</f>
        <v>0</v>
      </c>
      <c r="Q65" s="23">
        <f>0.00022*N65</f>
        <v>0</v>
      </c>
      <c r="R65" s="24"/>
      <c r="S65" s="25" t="s">
        <v>272</v>
      </c>
      <c r="T65" s="25" t="s">
        <v>43</v>
      </c>
      <c r="U65" s="5"/>
      <c r="V65" s="5"/>
      <c r="W65" s="5" t="s">
        <v>46</v>
      </c>
      <c r="X65" s="5" t="s">
        <v>263</v>
      </c>
      <c r="Y65" s="5"/>
      <c r="Z65" s="5" t="str">
        <f>HYPERLINK("https://knigipp.ru/api/getInfo/image/c580e0cb-447b-11e7-977d-5cf3fc4a2490")</f>
        <v>https://knigipp.ru/api/getInfo/image/c580e0cb-447b-11e7-977d-5cf3fc4a2490</v>
      </c>
      <c r="AA65" s="33">
        <v>16</v>
      </c>
      <c r="AB65" s="5"/>
      <c r="AC65" s="5" t="s">
        <v>96</v>
      </c>
      <c r="AD65" s="5"/>
      <c r="AE65" s="5" t="s">
        <v>49</v>
      </c>
      <c r="AF65" s="5"/>
      <c r="AG65" s="5" t="s">
        <v>264</v>
      </c>
      <c r="AH65" s="5" t="s">
        <v>238</v>
      </c>
    </row>
    <row r="66" spans="2:34" ht="22.95" customHeight="1" outlineLevel="2" x14ac:dyDescent="0.2">
      <c r="B66" s="73" t="s">
        <v>273</v>
      </c>
      <c r="C66" s="73"/>
      <c r="D66" s="73"/>
    </row>
    <row r="67" spans="2:34" ht="22.95" customHeight="1" outlineLevel="3" x14ac:dyDescent="0.2">
      <c r="B67" s="74" t="s">
        <v>274</v>
      </c>
      <c r="C67" s="74"/>
      <c r="D67" s="74"/>
    </row>
    <row r="68" spans="2:34" ht="21" customHeight="1" outlineLevel="4" x14ac:dyDescent="0.2">
      <c r="B68" s="4">
        <v>37</v>
      </c>
      <c r="C68" s="5" t="s">
        <v>275</v>
      </c>
      <c r="D68" s="5" t="s">
        <v>276</v>
      </c>
      <c r="E68" s="6" t="s">
        <v>277</v>
      </c>
      <c r="F68" s="10"/>
      <c r="G68" s="11" t="s">
        <v>278</v>
      </c>
      <c r="H68" s="12">
        <v>20</v>
      </c>
      <c r="I68" s="13" t="s">
        <v>41</v>
      </c>
      <c r="J68" s="13"/>
      <c r="K68" s="13"/>
      <c r="L68" s="4">
        <v>3</v>
      </c>
      <c r="M68" s="14">
        <f>249*(1-P3/100)</f>
        <v>249</v>
      </c>
      <c r="N68" s="15"/>
      <c r="O68" s="13">
        <f>M68*N68</f>
        <v>0</v>
      </c>
      <c r="P68" s="22">
        <f>0.064*N68</f>
        <v>0</v>
      </c>
      <c r="Q68" s="23">
        <f>0.00011*N68</f>
        <v>0</v>
      </c>
      <c r="R68" s="24"/>
      <c r="S68" s="25" t="s">
        <v>279</v>
      </c>
      <c r="T68" s="25" t="s">
        <v>43</v>
      </c>
      <c r="U68" s="5" t="s">
        <v>280</v>
      </c>
      <c r="V68" s="5" t="s">
        <v>281</v>
      </c>
      <c r="W68" s="5" t="s">
        <v>46</v>
      </c>
      <c r="X68" s="5"/>
      <c r="Y68" s="5"/>
      <c r="Z68" s="5" t="str">
        <f>HYPERLINK("https://knigipp.ru/api/getInfo/image/d929e0a8-354b-11ef-a261-00155d82e908")</f>
        <v>https://knigipp.ru/api/getInfo/image/d929e0a8-354b-11ef-a261-00155d82e908</v>
      </c>
      <c r="AA68" s="33">
        <v>10</v>
      </c>
      <c r="AB68" s="5" t="s">
        <v>47</v>
      </c>
      <c r="AC68" s="5" t="s">
        <v>140</v>
      </c>
      <c r="AD68" s="5"/>
      <c r="AE68" s="5" t="s">
        <v>49</v>
      </c>
      <c r="AF68" s="5"/>
      <c r="AG68" s="5"/>
      <c r="AH68" s="5" t="s">
        <v>282</v>
      </c>
    </row>
    <row r="69" spans="2:34" ht="21" customHeight="1" outlineLevel="4" x14ac:dyDescent="0.2">
      <c r="B69" s="4">
        <v>38</v>
      </c>
      <c r="C69" s="5" t="s">
        <v>283</v>
      </c>
      <c r="D69" s="5" t="s">
        <v>284</v>
      </c>
      <c r="E69" s="6" t="s">
        <v>285</v>
      </c>
      <c r="F69" s="10"/>
      <c r="G69" s="11" t="s">
        <v>278</v>
      </c>
      <c r="H69" s="12">
        <v>20</v>
      </c>
      <c r="I69" s="13" t="s">
        <v>41</v>
      </c>
      <c r="J69" s="13"/>
      <c r="K69" s="13"/>
      <c r="L69" s="4">
        <v>3</v>
      </c>
      <c r="M69" s="14">
        <f>249*(1-P3/100)</f>
        <v>249</v>
      </c>
      <c r="N69" s="15"/>
      <c r="O69" s="13">
        <f>M69*N69</f>
        <v>0</v>
      </c>
      <c r="P69" s="22">
        <f>0.064*N69</f>
        <v>0</v>
      </c>
      <c r="Q69" s="23">
        <f>0.00011*N69</f>
        <v>0</v>
      </c>
      <c r="R69" s="24"/>
      <c r="S69" s="25" t="s">
        <v>286</v>
      </c>
      <c r="T69" s="25" t="s">
        <v>43</v>
      </c>
      <c r="U69" s="5" t="s">
        <v>128</v>
      </c>
      <c r="V69" s="5" t="s">
        <v>287</v>
      </c>
      <c r="W69" s="5" t="s">
        <v>46</v>
      </c>
      <c r="X69" s="5"/>
      <c r="Y69" s="5"/>
      <c r="Z69" s="5" t="str">
        <f>HYPERLINK("https://knigipp.ru/api/getInfo/image/fcd2fbb5-354b-11ef-a261-00155d82e908")</f>
        <v>https://knigipp.ru/api/getInfo/image/fcd2fbb5-354b-11ef-a261-00155d82e908</v>
      </c>
      <c r="AA69" s="33">
        <v>10</v>
      </c>
      <c r="AB69" s="5" t="s">
        <v>47</v>
      </c>
      <c r="AC69" s="5" t="s">
        <v>140</v>
      </c>
      <c r="AD69" s="5"/>
      <c r="AE69" s="5" t="s">
        <v>49</v>
      </c>
      <c r="AF69" s="5"/>
      <c r="AG69" s="5"/>
      <c r="AH69" s="5" t="s">
        <v>282</v>
      </c>
    </row>
    <row r="70" spans="2:34" ht="21" customHeight="1" outlineLevel="4" x14ac:dyDescent="0.2">
      <c r="B70" s="4">
        <v>39</v>
      </c>
      <c r="C70" s="5" t="s">
        <v>288</v>
      </c>
      <c r="D70" s="5" t="s">
        <v>289</v>
      </c>
      <c r="E70" s="6" t="s">
        <v>290</v>
      </c>
      <c r="F70" s="10"/>
      <c r="G70" s="11" t="s">
        <v>278</v>
      </c>
      <c r="H70" s="12">
        <v>20</v>
      </c>
      <c r="I70" s="13" t="s">
        <v>41</v>
      </c>
      <c r="J70" s="13"/>
      <c r="K70" s="13"/>
      <c r="L70" s="4">
        <v>3</v>
      </c>
      <c r="M70" s="14">
        <f>249*(1-P3/100)</f>
        <v>249</v>
      </c>
      <c r="N70" s="15"/>
      <c r="O70" s="13">
        <f>M70*N70</f>
        <v>0</v>
      </c>
      <c r="P70" s="22">
        <f>0.064*N70</f>
        <v>0</v>
      </c>
      <c r="Q70" s="23">
        <f>0.00011*N70</f>
        <v>0</v>
      </c>
      <c r="R70" s="24"/>
      <c r="S70" s="25" t="s">
        <v>291</v>
      </c>
      <c r="T70" s="25" t="s">
        <v>43</v>
      </c>
      <c r="U70" s="5"/>
      <c r="V70" s="5" t="s">
        <v>292</v>
      </c>
      <c r="W70" s="5" t="s">
        <v>46</v>
      </c>
      <c r="X70" s="5"/>
      <c r="Y70" s="5"/>
      <c r="Z70" s="5" t="str">
        <f>HYPERLINK("https://knigipp.ru/api/getInfo/image/1a1af0d6-354c-11ef-a261-00155d82e908")</f>
        <v>https://knigipp.ru/api/getInfo/image/1a1af0d6-354c-11ef-a261-00155d82e908</v>
      </c>
      <c r="AA70" s="33">
        <v>10</v>
      </c>
      <c r="AB70" s="5" t="s">
        <v>47</v>
      </c>
      <c r="AC70" s="5" t="s">
        <v>140</v>
      </c>
      <c r="AD70" s="5"/>
      <c r="AE70" s="5" t="s">
        <v>49</v>
      </c>
      <c r="AF70" s="5"/>
      <c r="AG70" s="5"/>
      <c r="AH70" s="5" t="s">
        <v>282</v>
      </c>
    </row>
    <row r="71" spans="2:34" ht="21" customHeight="1" outlineLevel="4" x14ac:dyDescent="0.2">
      <c r="B71" s="4">
        <v>40</v>
      </c>
      <c r="C71" s="5" t="s">
        <v>293</v>
      </c>
      <c r="D71" s="5" t="s">
        <v>294</v>
      </c>
      <c r="E71" s="6" t="s">
        <v>295</v>
      </c>
      <c r="F71" s="10"/>
      <c r="G71" s="11" t="s">
        <v>278</v>
      </c>
      <c r="H71" s="12">
        <v>20</v>
      </c>
      <c r="I71" s="13" t="s">
        <v>41</v>
      </c>
      <c r="J71" s="13"/>
      <c r="K71" s="13"/>
      <c r="L71" s="4">
        <v>3</v>
      </c>
      <c r="M71" s="14">
        <f>249*(1-P3/100)</f>
        <v>249</v>
      </c>
      <c r="N71" s="15"/>
      <c r="O71" s="13">
        <f>M71*N71</f>
        <v>0</v>
      </c>
      <c r="P71" s="22">
        <f>0.064*N71</f>
        <v>0</v>
      </c>
      <c r="Q71" s="23">
        <f>0.00011*N71</f>
        <v>0</v>
      </c>
      <c r="R71" s="24"/>
      <c r="S71" s="25" t="s">
        <v>296</v>
      </c>
      <c r="T71" s="25" t="s">
        <v>43</v>
      </c>
      <c r="U71" s="5" t="s">
        <v>128</v>
      </c>
      <c r="V71" s="5" t="s">
        <v>297</v>
      </c>
      <c r="W71" s="5" t="s">
        <v>46</v>
      </c>
      <c r="X71" s="5"/>
      <c r="Y71" s="5"/>
      <c r="Z71" s="5" t="str">
        <f>HYPERLINK("https://knigipp.ru/api/getInfo/image/3422d2e4-354c-11ef-a261-00155d82e908")</f>
        <v>https://knigipp.ru/api/getInfo/image/3422d2e4-354c-11ef-a261-00155d82e908</v>
      </c>
      <c r="AA71" s="33">
        <v>10</v>
      </c>
      <c r="AB71" s="5" t="s">
        <v>47</v>
      </c>
      <c r="AC71" s="5" t="s">
        <v>140</v>
      </c>
      <c r="AD71" s="5"/>
      <c r="AE71" s="5" t="s">
        <v>49</v>
      </c>
      <c r="AF71" s="5"/>
      <c r="AG71" s="5"/>
      <c r="AH71" s="5" t="s">
        <v>282</v>
      </c>
    </row>
    <row r="72" spans="2:34" ht="22.95" customHeight="1" outlineLevel="3" x14ac:dyDescent="0.2">
      <c r="B72" s="74" t="s">
        <v>298</v>
      </c>
      <c r="C72" s="74"/>
      <c r="D72" s="74"/>
    </row>
    <row r="73" spans="2:34" ht="21" customHeight="1" outlineLevel="4" x14ac:dyDescent="0.2">
      <c r="B73" s="4">
        <v>41</v>
      </c>
      <c r="C73" s="5" t="s">
        <v>299</v>
      </c>
      <c r="D73" s="5" t="s">
        <v>300</v>
      </c>
      <c r="E73" s="6" t="s">
        <v>301</v>
      </c>
      <c r="F73" s="10"/>
      <c r="G73" s="11" t="s">
        <v>302</v>
      </c>
      <c r="H73" s="12">
        <v>20</v>
      </c>
      <c r="I73" s="13" t="s">
        <v>41</v>
      </c>
      <c r="J73" s="13"/>
      <c r="K73" s="13"/>
      <c r="L73" s="4">
        <v>1</v>
      </c>
      <c r="M73" s="14">
        <f>497*(1-P3/100)</f>
        <v>497</v>
      </c>
      <c r="N73" s="15"/>
      <c r="O73" s="13">
        <f>M73*N73</f>
        <v>0</v>
      </c>
      <c r="P73" s="22">
        <f>0.243*N73</f>
        <v>0</v>
      </c>
      <c r="Q73" s="23">
        <f>0.00027*N73</f>
        <v>0</v>
      </c>
      <c r="R73" s="24"/>
      <c r="S73" s="25" t="s">
        <v>303</v>
      </c>
      <c r="T73" s="25" t="s">
        <v>43</v>
      </c>
      <c r="U73" s="5" t="s">
        <v>304</v>
      </c>
      <c r="V73" s="5" t="s">
        <v>305</v>
      </c>
      <c r="W73" s="5" t="s">
        <v>46</v>
      </c>
      <c r="X73" s="5"/>
      <c r="Y73" s="5"/>
      <c r="Z73" s="5" t="str">
        <f>HYPERLINK("https://knigipp.ru/api/getInfo/image/eb73c12a-f5d3-11ef-a274-00155d82e908")</f>
        <v>https://knigipp.ru/api/getInfo/image/eb73c12a-f5d3-11ef-a274-00155d82e908</v>
      </c>
      <c r="AA73" s="33">
        <v>80</v>
      </c>
      <c r="AB73" s="5" t="s">
        <v>47</v>
      </c>
      <c r="AC73" s="5" t="s">
        <v>86</v>
      </c>
      <c r="AD73" s="5"/>
      <c r="AE73" s="5" t="s">
        <v>49</v>
      </c>
      <c r="AF73" s="5"/>
      <c r="AG73" s="5"/>
      <c r="AH73" s="5" t="s">
        <v>306</v>
      </c>
    </row>
    <row r="74" spans="2:34" ht="21" customHeight="1" outlineLevel="4" x14ac:dyDescent="0.2">
      <c r="B74" s="4">
        <v>42</v>
      </c>
      <c r="C74" s="5" t="s">
        <v>307</v>
      </c>
      <c r="D74" s="5" t="s">
        <v>308</v>
      </c>
      <c r="E74" s="6" t="s">
        <v>309</v>
      </c>
      <c r="F74" s="10"/>
      <c r="G74" s="11" t="s">
        <v>310</v>
      </c>
      <c r="H74" s="12">
        <v>20</v>
      </c>
      <c r="I74" s="13" t="s">
        <v>41</v>
      </c>
      <c r="J74" s="13"/>
      <c r="K74" s="13"/>
      <c r="L74" s="4">
        <v>1</v>
      </c>
      <c r="M74" s="14">
        <f>497*(1-P3/100)</f>
        <v>497</v>
      </c>
      <c r="N74" s="15"/>
      <c r="O74" s="13">
        <f>M74*N74</f>
        <v>0</v>
      </c>
      <c r="P74" s="22">
        <f>0.258*N74</f>
        <v>0</v>
      </c>
      <c r="Q74" s="30">
        <f>0.0005*N74</f>
        <v>0</v>
      </c>
      <c r="R74" s="24"/>
      <c r="S74" s="25" t="s">
        <v>311</v>
      </c>
      <c r="T74" s="25" t="s">
        <v>43</v>
      </c>
      <c r="U74" s="5" t="s">
        <v>312</v>
      </c>
      <c r="V74" s="5" t="s">
        <v>313</v>
      </c>
      <c r="W74" s="5" t="s">
        <v>46</v>
      </c>
      <c r="X74" s="5" t="s">
        <v>314</v>
      </c>
      <c r="Y74" s="5"/>
      <c r="Z74" s="5" t="str">
        <f>HYPERLINK("https://knigipp.ru/api/getInfo/image/59d3e21d-7fd6-11ef-a265-00155d82e908")</f>
        <v>https://knigipp.ru/api/getInfo/image/59d3e21d-7fd6-11ef-a265-00155d82e908</v>
      </c>
      <c r="AA74" s="33">
        <v>128</v>
      </c>
      <c r="AB74" s="5" t="s">
        <v>47</v>
      </c>
      <c r="AC74" s="5" t="s">
        <v>86</v>
      </c>
      <c r="AD74" s="5"/>
      <c r="AE74" s="5" t="s">
        <v>49</v>
      </c>
      <c r="AF74" s="5"/>
      <c r="AG74" s="5"/>
      <c r="AH74" s="5" t="s">
        <v>315</v>
      </c>
    </row>
    <row r="75" spans="2:34" ht="21" customHeight="1" outlineLevel="4" x14ac:dyDescent="0.2">
      <c r="B75" s="4">
        <v>43</v>
      </c>
      <c r="C75" s="5" t="s">
        <v>316</v>
      </c>
      <c r="D75" s="5" t="s">
        <v>317</v>
      </c>
      <c r="E75" s="6" t="s">
        <v>318</v>
      </c>
      <c r="F75" s="10"/>
      <c r="G75" s="11" t="s">
        <v>319</v>
      </c>
      <c r="H75" s="12">
        <v>20</v>
      </c>
      <c r="I75" s="13" t="s">
        <v>41</v>
      </c>
      <c r="J75" s="13"/>
      <c r="K75" s="13"/>
      <c r="L75" s="4">
        <v>1</v>
      </c>
      <c r="M75" s="14">
        <f>497*(1-P3/100)</f>
        <v>497</v>
      </c>
      <c r="N75" s="15"/>
      <c r="O75" s="13">
        <f>M75*N75</f>
        <v>0</v>
      </c>
      <c r="P75" s="22">
        <f>0.233*N75</f>
        <v>0</v>
      </c>
      <c r="Q75" s="23">
        <f>0.00016*N75</f>
        <v>0</v>
      </c>
      <c r="R75" s="24"/>
      <c r="S75" s="25" t="s">
        <v>320</v>
      </c>
      <c r="T75" s="25" t="s">
        <v>43</v>
      </c>
      <c r="U75" s="5" t="s">
        <v>321</v>
      </c>
      <c r="V75" s="5" t="s">
        <v>322</v>
      </c>
      <c r="W75" s="5" t="s">
        <v>46</v>
      </c>
      <c r="X75" s="5" t="s">
        <v>323</v>
      </c>
      <c r="Y75" s="5"/>
      <c r="Z75" s="5" t="str">
        <f>HYPERLINK("https://knigipp.ru/api/getInfo/image/7ad51727-7fd3-11ef-a265-00155d82e908")</f>
        <v>https://knigipp.ru/api/getInfo/image/7ad51727-7fd3-11ef-a265-00155d82e908</v>
      </c>
      <c r="AA75" s="33">
        <v>128</v>
      </c>
      <c r="AB75" s="5" t="s">
        <v>47</v>
      </c>
      <c r="AC75" s="5" t="s">
        <v>86</v>
      </c>
      <c r="AD75" s="5"/>
      <c r="AE75" s="5" t="s">
        <v>49</v>
      </c>
      <c r="AF75" s="5"/>
      <c r="AG75" s="5"/>
      <c r="AH75" s="5" t="s">
        <v>315</v>
      </c>
    </row>
    <row r="76" spans="2:34" ht="21" customHeight="1" outlineLevel="4" x14ac:dyDescent="0.2">
      <c r="B76" s="4">
        <v>44</v>
      </c>
      <c r="C76" s="5" t="s">
        <v>324</v>
      </c>
      <c r="D76" s="5" t="s">
        <v>325</v>
      </c>
      <c r="E76" s="6" t="s">
        <v>326</v>
      </c>
      <c r="F76" s="10"/>
      <c r="G76" s="11" t="s">
        <v>327</v>
      </c>
      <c r="H76" s="12">
        <v>20</v>
      </c>
      <c r="I76" s="13" t="s">
        <v>41</v>
      </c>
      <c r="J76" s="13"/>
      <c r="K76" s="13"/>
      <c r="L76" s="4">
        <v>1</v>
      </c>
      <c r="M76" s="14">
        <f>497*(1-P3/100)</f>
        <v>497</v>
      </c>
      <c r="N76" s="15"/>
      <c r="O76" s="13">
        <f>M76*N76</f>
        <v>0</v>
      </c>
      <c r="P76" s="22">
        <f>0.235*N76</f>
        <v>0</v>
      </c>
      <c r="Q76" s="23">
        <f>0.00027*N76</f>
        <v>0</v>
      </c>
      <c r="R76" s="24"/>
      <c r="S76" s="25" t="s">
        <v>328</v>
      </c>
      <c r="T76" s="25" t="s">
        <v>43</v>
      </c>
      <c r="U76" s="5" t="s">
        <v>329</v>
      </c>
      <c r="V76" s="5" t="s">
        <v>330</v>
      </c>
      <c r="W76" s="5" t="s">
        <v>46</v>
      </c>
      <c r="X76" s="5" t="s">
        <v>323</v>
      </c>
      <c r="Y76" s="5"/>
      <c r="Z76" s="5" t="str">
        <f>HYPERLINK("https://knigipp.ru/api/getInfo/image/39c43a65-7fd6-11ef-a265-00155d82e908")</f>
        <v>https://knigipp.ru/api/getInfo/image/39c43a65-7fd6-11ef-a265-00155d82e908</v>
      </c>
      <c r="AA76" s="33">
        <v>128</v>
      </c>
      <c r="AB76" s="5" t="s">
        <v>47</v>
      </c>
      <c r="AC76" s="5" t="s">
        <v>86</v>
      </c>
      <c r="AD76" s="5"/>
      <c r="AE76" s="5" t="s">
        <v>49</v>
      </c>
      <c r="AF76" s="5"/>
      <c r="AG76" s="5"/>
      <c r="AH76" s="5" t="s">
        <v>315</v>
      </c>
    </row>
    <row r="77" spans="2:34" ht="21" customHeight="1" outlineLevel="4" x14ac:dyDescent="0.2">
      <c r="B77" s="4">
        <v>45</v>
      </c>
      <c r="C77" s="5" t="s">
        <v>331</v>
      </c>
      <c r="D77" s="5" t="s">
        <v>332</v>
      </c>
      <c r="E77" s="6" t="s">
        <v>333</v>
      </c>
      <c r="F77" s="10"/>
      <c r="G77" s="11" t="s">
        <v>334</v>
      </c>
      <c r="H77" s="12">
        <v>20</v>
      </c>
      <c r="I77" s="13" t="s">
        <v>41</v>
      </c>
      <c r="J77" s="13"/>
      <c r="K77" s="13"/>
      <c r="L77" s="4">
        <v>1</v>
      </c>
      <c r="M77" s="14">
        <f>497*(1-P3/100)</f>
        <v>497</v>
      </c>
      <c r="N77" s="15"/>
      <c r="O77" s="13">
        <f>M77*N77</f>
        <v>0</v>
      </c>
      <c r="P77" s="22">
        <f>0.313*N77</f>
        <v>0</v>
      </c>
      <c r="Q77" s="23">
        <f>0.00058*N77</f>
        <v>0</v>
      </c>
      <c r="R77" s="24"/>
      <c r="S77" s="25" t="s">
        <v>335</v>
      </c>
      <c r="T77" s="25" t="s">
        <v>43</v>
      </c>
      <c r="U77" s="5" t="s">
        <v>336</v>
      </c>
      <c r="V77" s="5" t="s">
        <v>337</v>
      </c>
      <c r="W77" s="5" t="s">
        <v>46</v>
      </c>
      <c r="X77" s="5" t="s">
        <v>314</v>
      </c>
      <c r="Y77" s="5"/>
      <c r="Z77" s="5" t="str">
        <f>HYPERLINK("https://knigipp.ru/api/getInfo/image/c864693a-7fd3-11ef-a265-00155d82e908")</f>
        <v>https://knigipp.ru/api/getInfo/image/c864693a-7fd3-11ef-a265-00155d82e908</v>
      </c>
      <c r="AA77" s="33">
        <v>128</v>
      </c>
      <c r="AB77" s="5" t="s">
        <v>47</v>
      </c>
      <c r="AC77" s="5" t="s">
        <v>86</v>
      </c>
      <c r="AD77" s="5"/>
      <c r="AE77" s="5" t="s">
        <v>49</v>
      </c>
      <c r="AF77" s="5"/>
      <c r="AG77" s="5"/>
      <c r="AH77" s="5" t="s">
        <v>315</v>
      </c>
    </row>
    <row r="78" spans="2:34" ht="22.95" customHeight="1" outlineLevel="3" x14ac:dyDescent="0.2">
      <c r="B78" s="74" t="s">
        <v>338</v>
      </c>
      <c r="C78" s="74"/>
      <c r="D78" s="74"/>
    </row>
    <row r="79" spans="2:34" ht="21" customHeight="1" outlineLevel="4" x14ac:dyDescent="0.2">
      <c r="B79" s="4">
        <v>46</v>
      </c>
      <c r="C79" s="5" t="s">
        <v>339</v>
      </c>
      <c r="D79" s="5" t="s">
        <v>340</v>
      </c>
      <c r="E79" s="6" t="s">
        <v>341</v>
      </c>
      <c r="F79" s="10"/>
      <c r="G79" s="11" t="s">
        <v>342</v>
      </c>
      <c r="H79" s="12">
        <v>10</v>
      </c>
      <c r="I79" s="13" t="s">
        <v>41</v>
      </c>
      <c r="J79" s="13"/>
      <c r="K79" s="13"/>
      <c r="L79" s="4">
        <v>1</v>
      </c>
      <c r="M79" s="35">
        <f>1247*(1-P3/100)</f>
        <v>1247</v>
      </c>
      <c r="N79" s="15"/>
      <c r="O79" s="13">
        <f>M79*N79</f>
        <v>0</v>
      </c>
      <c r="P79" s="22">
        <f>0.627*N79</f>
        <v>0</v>
      </c>
      <c r="Q79" s="23">
        <f>0.00085*N79</f>
        <v>0</v>
      </c>
      <c r="R79" s="24"/>
      <c r="S79" s="25" t="s">
        <v>343</v>
      </c>
      <c r="T79" s="25" t="s">
        <v>43</v>
      </c>
      <c r="U79" s="5"/>
      <c r="V79" s="5" t="s">
        <v>344</v>
      </c>
      <c r="W79" s="5" t="s">
        <v>46</v>
      </c>
      <c r="X79" s="5"/>
      <c r="Y79" s="5"/>
      <c r="Z79" s="5" t="str">
        <f>HYPERLINK("https://knigipp.ru/api/getInfo/image/954c1618-6d45-11f0-a284-00155d82e908")</f>
        <v>https://knigipp.ru/api/getInfo/image/954c1618-6d45-11f0-a284-00155d82e908</v>
      </c>
      <c r="AA79" s="33">
        <v>192</v>
      </c>
      <c r="AB79" s="5" t="s">
        <v>47</v>
      </c>
      <c r="AC79" s="5" t="s">
        <v>86</v>
      </c>
      <c r="AD79" s="5"/>
      <c r="AE79" s="5" t="s">
        <v>49</v>
      </c>
      <c r="AF79" s="5"/>
      <c r="AG79" s="5"/>
      <c r="AH79" s="5" t="s">
        <v>345</v>
      </c>
    </row>
    <row r="80" spans="2:34" ht="22.95" customHeight="1" outlineLevel="3" x14ac:dyDescent="0.2">
      <c r="B80" s="74" t="s">
        <v>346</v>
      </c>
      <c r="C80" s="74"/>
      <c r="D80" s="74"/>
    </row>
    <row r="81" spans="2:34" ht="21" customHeight="1" outlineLevel="4" x14ac:dyDescent="0.2">
      <c r="B81" s="4">
        <v>47</v>
      </c>
      <c r="C81" s="5" t="s">
        <v>347</v>
      </c>
      <c r="D81" s="5" t="s">
        <v>348</v>
      </c>
      <c r="E81" s="6" t="s">
        <v>349</v>
      </c>
      <c r="F81" s="10"/>
      <c r="G81" s="11" t="s">
        <v>350</v>
      </c>
      <c r="H81" s="12">
        <v>20</v>
      </c>
      <c r="I81" s="13" t="s">
        <v>41</v>
      </c>
      <c r="J81" s="13"/>
      <c r="K81" s="13"/>
      <c r="L81" s="4">
        <v>2</v>
      </c>
      <c r="M81" s="14">
        <f>449*(1-P3/100)</f>
        <v>449</v>
      </c>
      <c r="N81" s="15"/>
      <c r="O81" s="13">
        <f>M81*N81</f>
        <v>0</v>
      </c>
      <c r="P81" s="32">
        <f>0.21*N81</f>
        <v>0</v>
      </c>
      <c r="Q81" s="23">
        <f>0.00132*N81</f>
        <v>0</v>
      </c>
      <c r="R81" s="24"/>
      <c r="S81" s="25" t="s">
        <v>351</v>
      </c>
      <c r="T81" s="25" t="s">
        <v>43</v>
      </c>
      <c r="U81" s="5" t="s">
        <v>352</v>
      </c>
      <c r="V81" s="5" t="s">
        <v>353</v>
      </c>
      <c r="W81" s="5" t="s">
        <v>46</v>
      </c>
      <c r="X81" s="5"/>
      <c r="Y81" s="5"/>
      <c r="Z81" s="5" t="str">
        <f>HYPERLINK("https://knigipp.ru/api/getInfo/image/d485514e-0e3c-11f0-a279-00155d82e908")</f>
        <v>https://knigipp.ru/api/getInfo/image/d485514e-0e3c-11f0-a279-00155d82e908</v>
      </c>
      <c r="AA81" s="33">
        <v>64</v>
      </c>
      <c r="AB81" s="5" t="s">
        <v>47</v>
      </c>
      <c r="AC81" s="5" t="s">
        <v>86</v>
      </c>
      <c r="AD81" s="5"/>
      <c r="AE81" s="5" t="s">
        <v>49</v>
      </c>
      <c r="AF81" s="5"/>
      <c r="AG81" s="5"/>
      <c r="AH81" s="5" t="s">
        <v>354</v>
      </c>
    </row>
    <row r="82" spans="2:34" ht="22.95" customHeight="1" outlineLevel="2" x14ac:dyDescent="0.2">
      <c r="B82" s="73" t="s">
        <v>355</v>
      </c>
      <c r="C82" s="73"/>
      <c r="D82" s="73"/>
    </row>
    <row r="83" spans="2:34" ht="22.95" customHeight="1" outlineLevel="3" x14ac:dyDescent="0.2">
      <c r="B83" s="74" t="s">
        <v>356</v>
      </c>
      <c r="C83" s="74"/>
      <c r="D83" s="74"/>
    </row>
    <row r="84" spans="2:34" ht="21" customHeight="1" outlineLevel="4" x14ac:dyDescent="0.2">
      <c r="B84" s="4">
        <v>48</v>
      </c>
      <c r="C84" s="5" t="s">
        <v>357</v>
      </c>
      <c r="D84" s="5" t="s">
        <v>358</v>
      </c>
      <c r="E84" s="6" t="s">
        <v>359</v>
      </c>
      <c r="F84" s="10"/>
      <c r="G84" s="11" t="s">
        <v>360</v>
      </c>
      <c r="H84" s="12">
        <v>40</v>
      </c>
      <c r="I84" s="13" t="s">
        <v>41</v>
      </c>
      <c r="J84" s="13"/>
      <c r="K84" s="13"/>
      <c r="L84" s="4">
        <v>8</v>
      </c>
      <c r="M84" s="14">
        <f>79.26*(1-P3/100)</f>
        <v>79.260000000000005</v>
      </c>
      <c r="N84" s="15"/>
      <c r="O84" s="13">
        <f>M84*N84</f>
        <v>0</v>
      </c>
      <c r="P84" s="22">
        <f>0.079*N84</f>
        <v>0</v>
      </c>
      <c r="Q84" s="23">
        <f>0.00015*N84</f>
        <v>0</v>
      </c>
      <c r="R84" s="24"/>
      <c r="S84" s="25" t="s">
        <v>361</v>
      </c>
      <c r="T84" s="25" t="s">
        <v>43</v>
      </c>
      <c r="U84" s="5"/>
      <c r="V84" s="5"/>
      <c r="W84" s="5" t="s">
        <v>46</v>
      </c>
      <c r="X84" s="5" t="s">
        <v>362</v>
      </c>
      <c r="Y84" s="5"/>
      <c r="Z84" s="5" t="str">
        <f>HYPERLINK("https://knigipp.ru/api/getInfo/image/8109d03d-b146-11e6-a48a-5cf3fc4a2490")</f>
        <v>https://knigipp.ru/api/getInfo/image/8109d03d-b146-11e6-a48a-5cf3fc4a2490</v>
      </c>
      <c r="AA84" s="33">
        <v>10</v>
      </c>
      <c r="AB84" s="5"/>
      <c r="AC84" s="5" t="s">
        <v>140</v>
      </c>
      <c r="AD84" s="5"/>
      <c r="AE84" s="5" t="s">
        <v>49</v>
      </c>
      <c r="AF84" s="5"/>
      <c r="AG84" s="5" t="s">
        <v>363</v>
      </c>
      <c r="AH84" s="5" t="s">
        <v>364</v>
      </c>
    </row>
    <row r="85" spans="2:34" ht="22.95" customHeight="1" outlineLevel="1" x14ac:dyDescent="0.2">
      <c r="B85" s="72" t="s">
        <v>365</v>
      </c>
      <c r="C85" s="72"/>
      <c r="D85" s="72"/>
    </row>
    <row r="86" spans="2:34" ht="22.95" customHeight="1" outlineLevel="2" x14ac:dyDescent="0.2">
      <c r="B86" s="73" t="s">
        <v>366</v>
      </c>
      <c r="C86" s="73"/>
      <c r="D86" s="73"/>
    </row>
    <row r="87" spans="2:34" ht="21" customHeight="1" outlineLevel="3" x14ac:dyDescent="0.2">
      <c r="B87" s="4">
        <v>49</v>
      </c>
      <c r="C87" s="5" t="s">
        <v>367</v>
      </c>
      <c r="D87" s="5" t="s">
        <v>368</v>
      </c>
      <c r="E87" s="6" t="s">
        <v>369</v>
      </c>
      <c r="F87" s="10"/>
      <c r="G87" s="11" t="s">
        <v>370</v>
      </c>
      <c r="H87" s="12">
        <v>10</v>
      </c>
      <c r="I87" s="13" t="s">
        <v>371</v>
      </c>
      <c r="J87" s="13"/>
      <c r="K87" s="13"/>
      <c r="L87" s="4">
        <v>2</v>
      </c>
      <c r="M87" s="14">
        <f>427*(1-P3/100)</f>
        <v>427</v>
      </c>
      <c r="N87" s="15"/>
      <c r="O87" s="13">
        <f>M87*N87</f>
        <v>0</v>
      </c>
      <c r="P87" s="13">
        <v>0</v>
      </c>
      <c r="Q87" s="13">
        <v>0</v>
      </c>
      <c r="R87" s="24"/>
      <c r="S87" s="25" t="s">
        <v>372</v>
      </c>
      <c r="T87" s="25" t="s">
        <v>43</v>
      </c>
      <c r="U87" s="5"/>
      <c r="V87" s="5"/>
      <c r="W87" s="5" t="s">
        <v>46</v>
      </c>
      <c r="X87" s="5"/>
      <c r="Y87" s="5"/>
      <c r="Z87" s="5" t="str">
        <f>HYPERLINK("https://knigipp.ru/api/getInfo/image/1acaa2a4-7202-11ed-a22a-00155d82e902")</f>
        <v>https://knigipp.ru/api/getInfo/image/1acaa2a4-7202-11ed-a22a-00155d82e902</v>
      </c>
      <c r="AA87" s="33">
        <v>21</v>
      </c>
      <c r="AB87" s="5" t="s">
        <v>47</v>
      </c>
      <c r="AC87" s="5" t="s">
        <v>96</v>
      </c>
      <c r="AD87" s="5"/>
      <c r="AE87" s="5" t="s">
        <v>49</v>
      </c>
      <c r="AF87" s="5"/>
      <c r="AG87" s="5"/>
      <c r="AH87" s="5" t="s">
        <v>373</v>
      </c>
    </row>
    <row r="88" spans="2:34" ht="22.95" customHeight="1" outlineLevel="2" x14ac:dyDescent="0.2">
      <c r="B88" s="73" t="s">
        <v>374</v>
      </c>
      <c r="C88" s="73"/>
      <c r="D88" s="73"/>
    </row>
    <row r="89" spans="2:34" ht="21" customHeight="1" outlineLevel="3" x14ac:dyDescent="0.2">
      <c r="B89" s="4">
        <v>50</v>
      </c>
      <c r="C89" s="5" t="s">
        <v>375</v>
      </c>
      <c r="D89" s="5" t="s">
        <v>376</v>
      </c>
      <c r="E89" s="6" t="s">
        <v>377</v>
      </c>
      <c r="F89" s="10"/>
      <c r="G89" s="11" t="s">
        <v>378</v>
      </c>
      <c r="H89" s="12">
        <v>10</v>
      </c>
      <c r="I89" s="13" t="s">
        <v>41</v>
      </c>
      <c r="J89" s="13"/>
      <c r="K89" s="13"/>
      <c r="L89" s="4">
        <v>2</v>
      </c>
      <c r="M89" s="14">
        <f>447*(1-P3/100)</f>
        <v>447</v>
      </c>
      <c r="N89" s="15"/>
      <c r="O89" s="13">
        <f t="shared" ref="O89:O95" si="2">M89*N89</f>
        <v>0</v>
      </c>
      <c r="P89" s="22">
        <f>0.513*N89</f>
        <v>0</v>
      </c>
      <c r="Q89" s="23">
        <f>0.00051*N89</f>
        <v>0</v>
      </c>
      <c r="R89" s="24"/>
      <c r="S89" s="25" t="s">
        <v>379</v>
      </c>
      <c r="T89" s="25" t="s">
        <v>43</v>
      </c>
      <c r="U89" s="5"/>
      <c r="V89" s="5"/>
      <c r="W89" s="5" t="s">
        <v>46</v>
      </c>
      <c r="X89" s="5"/>
      <c r="Y89" s="5"/>
      <c r="Z89" s="5" t="str">
        <f>HYPERLINK("https://knigipp.ru/api/getInfo/image/c188f9b4-b1be-11ec-a211-ac1f6b442185")</f>
        <v>https://knigipp.ru/api/getInfo/image/c188f9b4-b1be-11ec-a211-ac1f6b442185</v>
      </c>
      <c r="AA89" s="33">
        <v>20</v>
      </c>
      <c r="AB89" s="5"/>
      <c r="AC89" s="5" t="s">
        <v>96</v>
      </c>
      <c r="AD89" s="5"/>
      <c r="AE89" s="5" t="s">
        <v>49</v>
      </c>
      <c r="AF89" s="5"/>
      <c r="AG89" s="5" t="s">
        <v>380</v>
      </c>
      <c r="AH89" s="5" t="s">
        <v>373</v>
      </c>
    </row>
    <row r="90" spans="2:34" ht="21" customHeight="1" outlineLevel="3" x14ac:dyDescent="0.2">
      <c r="B90" s="4">
        <v>51</v>
      </c>
      <c r="C90" s="5" t="s">
        <v>381</v>
      </c>
      <c r="D90" s="5" t="s">
        <v>382</v>
      </c>
      <c r="E90" s="6" t="s">
        <v>383</v>
      </c>
      <c r="F90" s="10"/>
      <c r="G90" s="11" t="s">
        <v>384</v>
      </c>
      <c r="H90" s="12">
        <v>10</v>
      </c>
      <c r="I90" s="13" t="s">
        <v>261</v>
      </c>
      <c r="J90" s="13"/>
      <c r="K90" s="13"/>
      <c r="L90" s="4">
        <v>2</v>
      </c>
      <c r="M90" s="14">
        <f>447*(1-P3/100)</f>
        <v>447</v>
      </c>
      <c r="N90" s="15"/>
      <c r="O90" s="13">
        <f t="shared" si="2"/>
        <v>0</v>
      </c>
      <c r="P90" s="32">
        <f>0.51*N90</f>
        <v>0</v>
      </c>
      <c r="Q90" s="23">
        <f>0.00083*N90</f>
        <v>0</v>
      </c>
      <c r="R90" s="24"/>
      <c r="S90" s="25" t="s">
        <v>385</v>
      </c>
      <c r="T90" s="25" t="s">
        <v>43</v>
      </c>
      <c r="U90" s="5"/>
      <c r="V90" s="5"/>
      <c r="W90" s="5" t="s">
        <v>46</v>
      </c>
      <c r="X90" s="5"/>
      <c r="Y90" s="5"/>
      <c r="Z90" s="5" t="str">
        <f>HYPERLINK("https://knigipp.ru/api/getInfo/image/465fe0ca-14de-11ea-a237-ac1f6b442184")</f>
        <v>https://knigipp.ru/api/getInfo/image/465fe0ca-14de-11ea-a237-ac1f6b442184</v>
      </c>
      <c r="AA90" s="33">
        <v>20</v>
      </c>
      <c r="AB90" s="5"/>
      <c r="AC90" s="5" t="s">
        <v>96</v>
      </c>
      <c r="AD90" s="5"/>
      <c r="AE90" s="5" t="s">
        <v>49</v>
      </c>
      <c r="AF90" s="5"/>
      <c r="AG90" s="5"/>
      <c r="AH90" s="5" t="s">
        <v>373</v>
      </c>
    </row>
    <row r="91" spans="2:34" ht="21" customHeight="1" outlineLevel="3" x14ac:dyDescent="0.2">
      <c r="B91" s="4">
        <v>52</v>
      </c>
      <c r="C91" s="5" t="s">
        <v>386</v>
      </c>
      <c r="D91" s="5" t="s">
        <v>387</v>
      </c>
      <c r="E91" s="6" t="s">
        <v>388</v>
      </c>
      <c r="F91" s="10"/>
      <c r="G91" s="11" t="s">
        <v>389</v>
      </c>
      <c r="H91" s="12">
        <v>10</v>
      </c>
      <c r="I91" s="13" t="s">
        <v>371</v>
      </c>
      <c r="J91" s="13"/>
      <c r="K91" s="13"/>
      <c r="L91" s="4">
        <v>2</v>
      </c>
      <c r="M91" s="14">
        <f>447*(1-P3/100)</f>
        <v>447</v>
      </c>
      <c r="N91" s="15"/>
      <c r="O91" s="13">
        <f t="shared" si="2"/>
        <v>0</v>
      </c>
      <c r="P91" s="22">
        <f>0.491*N91</f>
        <v>0</v>
      </c>
      <c r="Q91" s="23">
        <f>0.00113*N91</f>
        <v>0</v>
      </c>
      <c r="R91" s="24"/>
      <c r="S91" s="25" t="s">
        <v>390</v>
      </c>
      <c r="T91" s="25" t="s">
        <v>43</v>
      </c>
      <c r="U91" s="5"/>
      <c r="V91" s="5"/>
      <c r="W91" s="5" t="s">
        <v>46</v>
      </c>
      <c r="X91" s="5"/>
      <c r="Y91" s="5"/>
      <c r="Z91" s="5" t="str">
        <f>HYPERLINK("https://knigipp.ru/api/getInfo/image/58d09ea0-f047-11eb-a20d-ac1f6b442185")</f>
        <v>https://knigipp.ru/api/getInfo/image/58d09ea0-f047-11eb-a20d-ac1f6b442185</v>
      </c>
      <c r="AA91" s="33">
        <v>20</v>
      </c>
      <c r="AB91" s="5"/>
      <c r="AC91" s="5" t="s">
        <v>96</v>
      </c>
      <c r="AD91" s="5"/>
      <c r="AE91" s="5" t="s">
        <v>49</v>
      </c>
      <c r="AF91" s="5"/>
      <c r="AG91" s="5" t="s">
        <v>380</v>
      </c>
      <c r="AH91" s="5" t="s">
        <v>373</v>
      </c>
    </row>
    <row r="92" spans="2:34" ht="21" customHeight="1" outlineLevel="3" x14ac:dyDescent="0.2">
      <c r="B92" s="4">
        <v>53</v>
      </c>
      <c r="C92" s="5" t="s">
        <v>391</v>
      </c>
      <c r="D92" s="5" t="s">
        <v>392</v>
      </c>
      <c r="E92" s="6" t="s">
        <v>393</v>
      </c>
      <c r="F92" s="10"/>
      <c r="G92" s="11" t="s">
        <v>384</v>
      </c>
      <c r="H92" s="12">
        <v>10</v>
      </c>
      <c r="I92" s="13" t="s">
        <v>371</v>
      </c>
      <c r="J92" s="13"/>
      <c r="K92" s="13"/>
      <c r="L92" s="4">
        <v>2</v>
      </c>
      <c r="M92" s="14">
        <f>447*(1-P3/100)</f>
        <v>447</v>
      </c>
      <c r="N92" s="15"/>
      <c r="O92" s="13">
        <f t="shared" si="2"/>
        <v>0</v>
      </c>
      <c r="P92" s="22">
        <f>0.476*N92</f>
        <v>0</v>
      </c>
      <c r="Q92" s="23">
        <f>0.00064*N92</f>
        <v>0</v>
      </c>
      <c r="R92" s="24"/>
      <c r="S92" s="25" t="s">
        <v>394</v>
      </c>
      <c r="T92" s="25" t="s">
        <v>43</v>
      </c>
      <c r="U92" s="5"/>
      <c r="V92" s="5"/>
      <c r="W92" s="5" t="s">
        <v>46</v>
      </c>
      <c r="X92" s="5"/>
      <c r="Y92" s="5"/>
      <c r="Z92" s="5" t="str">
        <f>HYPERLINK("https://knigipp.ru/api/getInfo/image/6e615c0e-edd6-11ee-a25b-00155d82e908")</f>
        <v>https://knigipp.ru/api/getInfo/image/6e615c0e-edd6-11ee-a25b-00155d82e908</v>
      </c>
      <c r="AA92" s="33">
        <v>20</v>
      </c>
      <c r="AB92" s="5"/>
      <c r="AC92" s="5" t="s">
        <v>96</v>
      </c>
      <c r="AD92" s="5"/>
      <c r="AE92" s="5" t="s">
        <v>49</v>
      </c>
      <c r="AF92" s="5"/>
      <c r="AG92" s="5" t="s">
        <v>380</v>
      </c>
      <c r="AH92" s="5" t="s">
        <v>373</v>
      </c>
    </row>
    <row r="93" spans="2:34" ht="21" customHeight="1" outlineLevel="3" x14ac:dyDescent="0.2">
      <c r="B93" s="4">
        <v>54</v>
      </c>
      <c r="C93" s="5" t="s">
        <v>395</v>
      </c>
      <c r="D93" s="5" t="s">
        <v>396</v>
      </c>
      <c r="E93" s="6" t="s">
        <v>397</v>
      </c>
      <c r="F93" s="10"/>
      <c r="G93" s="11" t="s">
        <v>398</v>
      </c>
      <c r="H93" s="12">
        <v>10</v>
      </c>
      <c r="I93" s="13" t="s">
        <v>41</v>
      </c>
      <c r="J93" s="13"/>
      <c r="K93" s="13"/>
      <c r="L93" s="4">
        <v>2</v>
      </c>
      <c r="M93" s="14">
        <f>447*(1-P3/100)</f>
        <v>447</v>
      </c>
      <c r="N93" s="15"/>
      <c r="O93" s="13">
        <f t="shared" si="2"/>
        <v>0</v>
      </c>
      <c r="P93" s="22">
        <f>0.488*N93</f>
        <v>0</v>
      </c>
      <c r="Q93" s="23">
        <f>0.00096*N93</f>
        <v>0</v>
      </c>
      <c r="R93" s="24"/>
      <c r="S93" s="25" t="s">
        <v>399</v>
      </c>
      <c r="T93" s="25" t="s">
        <v>43</v>
      </c>
      <c r="U93" s="5"/>
      <c r="V93" s="5"/>
      <c r="W93" s="5" t="s">
        <v>46</v>
      </c>
      <c r="X93" s="5" t="s">
        <v>400</v>
      </c>
      <c r="Y93" s="5"/>
      <c r="Z93" s="5" t="str">
        <f>HYPERLINK("https://knigipp.ru/api/getInfo/image/c47b74ac-117f-11e8-ba06-5cf3fc4a2490")</f>
        <v>https://knigipp.ru/api/getInfo/image/c47b74ac-117f-11e8-ba06-5cf3fc4a2490</v>
      </c>
      <c r="AA93" s="33">
        <v>20</v>
      </c>
      <c r="AB93" s="5"/>
      <c r="AC93" s="5" t="s">
        <v>96</v>
      </c>
      <c r="AD93" s="5"/>
      <c r="AE93" s="5" t="s">
        <v>49</v>
      </c>
      <c r="AF93" s="5"/>
      <c r="AG93" s="5" t="s">
        <v>380</v>
      </c>
      <c r="AH93" s="5" t="s">
        <v>373</v>
      </c>
    </row>
    <row r="94" spans="2:34" ht="21" customHeight="1" outlineLevel="3" x14ac:dyDescent="0.2">
      <c r="B94" s="4">
        <v>55</v>
      </c>
      <c r="C94" s="5" t="s">
        <v>401</v>
      </c>
      <c r="D94" s="5" t="s">
        <v>402</v>
      </c>
      <c r="E94" s="6" t="s">
        <v>403</v>
      </c>
      <c r="F94" s="10"/>
      <c r="G94" s="11" t="s">
        <v>384</v>
      </c>
      <c r="H94" s="12">
        <v>10</v>
      </c>
      <c r="I94" s="13" t="s">
        <v>41</v>
      </c>
      <c r="J94" s="13"/>
      <c r="K94" s="13"/>
      <c r="L94" s="4">
        <v>2</v>
      </c>
      <c r="M94" s="14">
        <f>447*(1-P3/100)</f>
        <v>447</v>
      </c>
      <c r="N94" s="15"/>
      <c r="O94" s="13">
        <f t="shared" si="2"/>
        <v>0</v>
      </c>
      <c r="P94" s="22">
        <f>0.487*N94</f>
        <v>0</v>
      </c>
      <c r="Q94" s="23">
        <f>0.00323*N94</f>
        <v>0</v>
      </c>
      <c r="R94" s="24"/>
      <c r="S94" s="25" t="s">
        <v>404</v>
      </c>
      <c r="T94" s="25" t="s">
        <v>43</v>
      </c>
      <c r="U94" s="5"/>
      <c r="V94" s="5"/>
      <c r="W94" s="5" t="s">
        <v>46</v>
      </c>
      <c r="X94" s="5"/>
      <c r="Y94" s="5"/>
      <c r="Z94" s="5" t="str">
        <f>HYPERLINK("https://knigipp.ru/api/getInfo/image/ecc5d653-4d5c-11ee-a244-00155d82e902")</f>
        <v>https://knigipp.ru/api/getInfo/image/ecc5d653-4d5c-11ee-a244-00155d82e902</v>
      </c>
      <c r="AA94" s="33">
        <v>20</v>
      </c>
      <c r="AB94" s="5" t="s">
        <v>47</v>
      </c>
      <c r="AC94" s="5" t="s">
        <v>96</v>
      </c>
      <c r="AD94" s="5"/>
      <c r="AE94" s="5" t="s">
        <v>49</v>
      </c>
      <c r="AF94" s="5"/>
      <c r="AG94" s="5" t="s">
        <v>380</v>
      </c>
      <c r="AH94" s="5" t="s">
        <v>373</v>
      </c>
    </row>
    <row r="95" spans="2:34" ht="21" customHeight="1" outlineLevel="3" x14ac:dyDescent="0.2">
      <c r="B95" s="4">
        <v>56</v>
      </c>
      <c r="C95" s="5" t="s">
        <v>405</v>
      </c>
      <c r="D95" s="5" t="s">
        <v>406</v>
      </c>
      <c r="E95" s="6" t="s">
        <v>407</v>
      </c>
      <c r="F95" s="10"/>
      <c r="G95" s="11" t="s">
        <v>408</v>
      </c>
      <c r="H95" s="12">
        <v>10</v>
      </c>
      <c r="I95" s="13" t="s">
        <v>41</v>
      </c>
      <c r="J95" s="13"/>
      <c r="K95" s="13"/>
      <c r="L95" s="4">
        <v>2</v>
      </c>
      <c r="M95" s="14">
        <f>447*(1-P3/100)</f>
        <v>447</v>
      </c>
      <c r="N95" s="15"/>
      <c r="O95" s="13">
        <f t="shared" si="2"/>
        <v>0</v>
      </c>
      <c r="P95" s="22">
        <f>0.521*N95</f>
        <v>0</v>
      </c>
      <c r="Q95" s="23">
        <f>0.00081*N95</f>
        <v>0</v>
      </c>
      <c r="R95" s="24"/>
      <c r="S95" s="25" t="s">
        <v>409</v>
      </c>
      <c r="T95" s="25" t="s">
        <v>43</v>
      </c>
      <c r="U95" s="5"/>
      <c r="V95" s="5"/>
      <c r="W95" s="5" t="s">
        <v>46</v>
      </c>
      <c r="X95" s="5"/>
      <c r="Y95" s="5"/>
      <c r="Z95" s="5" t="str">
        <f>HYPERLINK("https://knigipp.ru/api/getInfo/image/6cff17ed-7218-11ed-a22a-00155d82e902")</f>
        <v>https://knigipp.ru/api/getInfo/image/6cff17ed-7218-11ed-a22a-00155d82e902</v>
      </c>
      <c r="AA95" s="33">
        <v>20</v>
      </c>
      <c r="AB95" s="5" t="s">
        <v>47</v>
      </c>
      <c r="AC95" s="5" t="s">
        <v>96</v>
      </c>
      <c r="AD95" s="5"/>
      <c r="AE95" s="5" t="s">
        <v>49</v>
      </c>
      <c r="AF95" s="5"/>
      <c r="AG95" s="5" t="s">
        <v>380</v>
      </c>
      <c r="AH95" s="5" t="s">
        <v>373</v>
      </c>
    </row>
    <row r="96" spans="2:34" ht="22.95" customHeight="1" outlineLevel="2" x14ac:dyDescent="0.2">
      <c r="B96" s="73" t="s">
        <v>410</v>
      </c>
      <c r="C96" s="73"/>
      <c r="D96" s="73"/>
    </row>
    <row r="97" spans="2:34" ht="21" customHeight="1" outlineLevel="3" x14ac:dyDescent="0.2">
      <c r="B97" s="4">
        <v>57</v>
      </c>
      <c r="C97" s="5" t="s">
        <v>411</v>
      </c>
      <c r="D97" s="5" t="s">
        <v>412</v>
      </c>
      <c r="E97" s="6" t="s">
        <v>413</v>
      </c>
      <c r="F97" s="10"/>
      <c r="G97" s="11" t="s">
        <v>414</v>
      </c>
      <c r="H97" s="12">
        <v>10</v>
      </c>
      <c r="I97" s="13" t="s">
        <v>41</v>
      </c>
      <c r="J97" s="13"/>
      <c r="K97" s="13"/>
      <c r="L97" s="4">
        <v>1</v>
      </c>
      <c r="M97" s="14">
        <f>697*(1-P3/100)</f>
        <v>697</v>
      </c>
      <c r="N97" s="15"/>
      <c r="O97" s="13">
        <f t="shared" ref="O97:O103" si="3">M97*N97</f>
        <v>0</v>
      </c>
      <c r="P97" s="22">
        <f>0.438*N97</f>
        <v>0</v>
      </c>
      <c r="Q97" s="23">
        <f>0.00192*N97</f>
        <v>0</v>
      </c>
      <c r="R97" s="24"/>
      <c r="S97" s="25" t="s">
        <v>415</v>
      </c>
      <c r="T97" s="25" t="s">
        <v>43</v>
      </c>
      <c r="U97" s="5"/>
      <c r="V97" s="5"/>
      <c r="W97" s="5" t="s">
        <v>46</v>
      </c>
      <c r="X97" s="5"/>
      <c r="Y97" s="5"/>
      <c r="Z97" s="5" t="str">
        <f>HYPERLINK("https://knigipp.ru/api/getInfo/image/7456c731-6a5a-11ed-a22a-00155d82e902")</f>
        <v>https://knigipp.ru/api/getInfo/image/7456c731-6a5a-11ed-a22a-00155d82e902</v>
      </c>
      <c r="AA97" s="33">
        <v>20</v>
      </c>
      <c r="AB97" s="5"/>
      <c r="AC97" s="5" t="s">
        <v>96</v>
      </c>
      <c r="AD97" s="5"/>
      <c r="AE97" s="5" t="s">
        <v>49</v>
      </c>
      <c r="AF97" s="5"/>
      <c r="AG97" s="5"/>
      <c r="AH97" s="5" t="s">
        <v>416</v>
      </c>
    </row>
    <row r="98" spans="2:34" ht="21" customHeight="1" outlineLevel="3" x14ac:dyDescent="0.2">
      <c r="B98" s="4">
        <v>58</v>
      </c>
      <c r="C98" s="5" t="s">
        <v>417</v>
      </c>
      <c r="D98" s="5" t="s">
        <v>418</v>
      </c>
      <c r="E98" s="6" t="s">
        <v>419</v>
      </c>
      <c r="F98" s="10"/>
      <c r="G98" s="11" t="s">
        <v>420</v>
      </c>
      <c r="H98" s="12">
        <v>10</v>
      </c>
      <c r="I98" s="13" t="s">
        <v>41</v>
      </c>
      <c r="J98" s="13"/>
      <c r="K98" s="13"/>
      <c r="L98" s="4">
        <v>1</v>
      </c>
      <c r="M98" s="14">
        <f>697*(1-P3/100)</f>
        <v>697</v>
      </c>
      <c r="N98" s="15"/>
      <c r="O98" s="13">
        <f t="shared" si="3"/>
        <v>0</v>
      </c>
      <c r="P98" s="22">
        <f>0.513*N98</f>
        <v>0</v>
      </c>
      <c r="Q98" s="23">
        <f>0.00051*N98</f>
        <v>0</v>
      </c>
      <c r="R98" s="24"/>
      <c r="S98" s="25" t="s">
        <v>421</v>
      </c>
      <c r="T98" s="25" t="s">
        <v>43</v>
      </c>
      <c r="U98" s="5"/>
      <c r="V98" s="5"/>
      <c r="W98" s="5" t="s">
        <v>46</v>
      </c>
      <c r="X98" s="5"/>
      <c r="Y98" s="5"/>
      <c r="Z98" s="5" t="str">
        <f>HYPERLINK("https://knigipp.ru/api/getInfo/image/d770b1bb-ae52-11ef-a267-00155d82e908")</f>
        <v>https://knigipp.ru/api/getInfo/image/d770b1bb-ae52-11ef-a267-00155d82e908</v>
      </c>
      <c r="AA98" s="33">
        <v>20</v>
      </c>
      <c r="AB98" s="5"/>
      <c r="AC98" s="5" t="s">
        <v>96</v>
      </c>
      <c r="AD98" s="5"/>
      <c r="AE98" s="5" t="s">
        <v>49</v>
      </c>
      <c r="AF98" s="5"/>
      <c r="AG98" s="5"/>
      <c r="AH98" s="5" t="s">
        <v>416</v>
      </c>
    </row>
    <row r="99" spans="2:34" ht="21" customHeight="1" outlineLevel="3" x14ac:dyDescent="0.2">
      <c r="B99" s="4">
        <v>59</v>
      </c>
      <c r="C99" s="5" t="s">
        <v>422</v>
      </c>
      <c r="D99" s="5" t="s">
        <v>423</v>
      </c>
      <c r="E99" s="6" t="s">
        <v>424</v>
      </c>
      <c r="F99" s="10"/>
      <c r="G99" s="11" t="s">
        <v>414</v>
      </c>
      <c r="H99" s="12">
        <v>10</v>
      </c>
      <c r="I99" s="13" t="s">
        <v>41</v>
      </c>
      <c r="J99" s="13"/>
      <c r="K99" s="13"/>
      <c r="L99" s="4">
        <v>1</v>
      </c>
      <c r="M99" s="14">
        <f>697*(1-P3/100)</f>
        <v>697</v>
      </c>
      <c r="N99" s="15"/>
      <c r="O99" s="13">
        <f t="shared" si="3"/>
        <v>0</v>
      </c>
      <c r="P99" s="22">
        <f>0.882*N99</f>
        <v>0</v>
      </c>
      <c r="Q99" s="13">
        <v>0</v>
      </c>
      <c r="R99" s="24"/>
      <c r="S99" s="25" t="s">
        <v>425</v>
      </c>
      <c r="T99" s="25" t="s">
        <v>43</v>
      </c>
      <c r="U99" s="5"/>
      <c r="V99" s="5"/>
      <c r="W99" s="5" t="s">
        <v>46</v>
      </c>
      <c r="X99" s="5"/>
      <c r="Y99" s="5"/>
      <c r="Z99" s="5" t="str">
        <f>HYPERLINK("https://knigipp.ru/api/getInfo/image/34db9170-d7d7-11ee-a25a-00155d82e908")</f>
        <v>https://knigipp.ru/api/getInfo/image/34db9170-d7d7-11ee-a25a-00155d82e908</v>
      </c>
      <c r="AA99" s="33">
        <v>20</v>
      </c>
      <c r="AB99" s="5"/>
      <c r="AC99" s="5" t="s">
        <v>96</v>
      </c>
      <c r="AD99" s="5"/>
      <c r="AE99" s="5" t="s">
        <v>49</v>
      </c>
      <c r="AF99" s="5"/>
      <c r="AG99" s="5"/>
      <c r="AH99" s="5" t="s">
        <v>416</v>
      </c>
    </row>
    <row r="100" spans="2:34" ht="21" customHeight="1" outlineLevel="3" x14ac:dyDescent="0.2">
      <c r="B100" s="4">
        <v>60</v>
      </c>
      <c r="C100" s="5" t="s">
        <v>426</v>
      </c>
      <c r="D100" s="5" t="s">
        <v>427</v>
      </c>
      <c r="E100" s="6" t="s">
        <v>428</v>
      </c>
      <c r="F100" s="10"/>
      <c r="G100" s="11" t="s">
        <v>414</v>
      </c>
      <c r="H100" s="12">
        <v>10</v>
      </c>
      <c r="I100" s="13" t="s">
        <v>261</v>
      </c>
      <c r="J100" s="13"/>
      <c r="K100" s="13"/>
      <c r="L100" s="4">
        <v>1</v>
      </c>
      <c r="M100" s="14">
        <f>697*(1-P3/100)</f>
        <v>697</v>
      </c>
      <c r="N100" s="15"/>
      <c r="O100" s="13">
        <f t="shared" si="3"/>
        <v>0</v>
      </c>
      <c r="P100" s="13">
        <v>0</v>
      </c>
      <c r="Q100" s="13">
        <v>0</v>
      </c>
      <c r="R100" s="24"/>
      <c r="S100" s="25" t="s">
        <v>429</v>
      </c>
      <c r="T100" s="25" t="s">
        <v>43</v>
      </c>
      <c r="U100" s="5"/>
      <c r="V100" s="5"/>
      <c r="W100" s="5" t="s">
        <v>46</v>
      </c>
      <c r="X100" s="5"/>
      <c r="Y100" s="5"/>
      <c r="Z100" s="5" t="str">
        <f>HYPERLINK("https://knigipp.ru/api/getInfo/image/58fe5219-d7d7-11ee-a25a-00155d82e908")</f>
        <v>https://knigipp.ru/api/getInfo/image/58fe5219-d7d7-11ee-a25a-00155d82e908</v>
      </c>
      <c r="AA100" s="33">
        <v>20</v>
      </c>
      <c r="AB100" s="5"/>
      <c r="AC100" s="5" t="s">
        <v>96</v>
      </c>
      <c r="AD100" s="5"/>
      <c r="AE100" s="5" t="s">
        <v>49</v>
      </c>
      <c r="AF100" s="5"/>
      <c r="AG100" s="5"/>
      <c r="AH100" s="5" t="s">
        <v>416</v>
      </c>
    </row>
    <row r="101" spans="2:34" ht="21" customHeight="1" outlineLevel="3" x14ac:dyDescent="0.2">
      <c r="B101" s="4">
        <v>61</v>
      </c>
      <c r="C101" s="5" t="s">
        <v>430</v>
      </c>
      <c r="D101" s="5" t="s">
        <v>431</v>
      </c>
      <c r="E101" s="6" t="s">
        <v>432</v>
      </c>
      <c r="F101" s="10"/>
      <c r="G101" s="11" t="s">
        <v>433</v>
      </c>
      <c r="H101" s="12">
        <v>10</v>
      </c>
      <c r="I101" s="13" t="s">
        <v>41</v>
      </c>
      <c r="J101" s="13"/>
      <c r="K101" s="13"/>
      <c r="L101" s="4">
        <v>1</v>
      </c>
      <c r="M101" s="14">
        <f>697*(1-P3/100)</f>
        <v>697</v>
      </c>
      <c r="N101" s="15"/>
      <c r="O101" s="13">
        <f t="shared" si="3"/>
        <v>0</v>
      </c>
      <c r="P101" s="22">
        <f>0.513*N101</f>
        <v>0</v>
      </c>
      <c r="Q101" s="23">
        <f>0.00051*N101</f>
        <v>0</v>
      </c>
      <c r="R101" s="24"/>
      <c r="S101" s="25" t="s">
        <v>434</v>
      </c>
      <c r="T101" s="25" t="s">
        <v>43</v>
      </c>
      <c r="U101" s="5"/>
      <c r="V101" s="5"/>
      <c r="W101" s="5" t="s">
        <v>46</v>
      </c>
      <c r="X101" s="5"/>
      <c r="Y101" s="5"/>
      <c r="Z101" s="5" t="str">
        <f>HYPERLINK("https://knigipp.ru/api/getInfo/image/c298ac64-a3f1-11ee-a258-00155d82e908")</f>
        <v>https://knigipp.ru/api/getInfo/image/c298ac64-a3f1-11ee-a258-00155d82e908</v>
      </c>
      <c r="AA101" s="33">
        <v>20</v>
      </c>
      <c r="AB101" s="5"/>
      <c r="AC101" s="5" t="s">
        <v>96</v>
      </c>
      <c r="AD101" s="5"/>
      <c r="AE101" s="5" t="s">
        <v>49</v>
      </c>
      <c r="AF101" s="5"/>
      <c r="AG101" s="5"/>
      <c r="AH101" s="5" t="s">
        <v>416</v>
      </c>
    </row>
    <row r="102" spans="2:34" ht="21" customHeight="1" outlineLevel="3" x14ac:dyDescent="0.2">
      <c r="B102" s="4">
        <v>62</v>
      </c>
      <c r="C102" s="5" t="s">
        <v>435</v>
      </c>
      <c r="D102" s="5" t="s">
        <v>436</v>
      </c>
      <c r="E102" s="6" t="s">
        <v>437</v>
      </c>
      <c r="F102" s="10"/>
      <c r="G102" s="11" t="s">
        <v>414</v>
      </c>
      <c r="H102" s="12">
        <v>10</v>
      </c>
      <c r="I102" s="13" t="s">
        <v>41</v>
      </c>
      <c r="J102" s="13"/>
      <c r="K102" s="13"/>
      <c r="L102" s="4">
        <v>1</v>
      </c>
      <c r="M102" s="14">
        <f>697*(1-P3/100)</f>
        <v>697</v>
      </c>
      <c r="N102" s="15"/>
      <c r="O102" s="13">
        <f t="shared" si="3"/>
        <v>0</v>
      </c>
      <c r="P102" s="22">
        <f>0.435*N102</f>
        <v>0</v>
      </c>
      <c r="Q102" s="23">
        <f>0.00134*N102</f>
        <v>0</v>
      </c>
      <c r="R102" s="24"/>
      <c r="S102" s="25" t="s">
        <v>438</v>
      </c>
      <c r="T102" s="25" t="s">
        <v>43</v>
      </c>
      <c r="U102" s="5"/>
      <c r="V102" s="5"/>
      <c r="W102" s="5" t="s">
        <v>46</v>
      </c>
      <c r="X102" s="5"/>
      <c r="Y102" s="5"/>
      <c r="Z102" s="5" t="str">
        <f>HYPERLINK("https://knigipp.ru/api/getInfo/image/4a04e95e-6a5a-11ed-a22a-00155d82e902")</f>
        <v>https://knigipp.ru/api/getInfo/image/4a04e95e-6a5a-11ed-a22a-00155d82e902</v>
      </c>
      <c r="AA102" s="33">
        <v>20</v>
      </c>
      <c r="AB102" s="5"/>
      <c r="AC102" s="5" t="s">
        <v>96</v>
      </c>
      <c r="AD102" s="5"/>
      <c r="AE102" s="5" t="s">
        <v>49</v>
      </c>
      <c r="AF102" s="5"/>
      <c r="AG102" s="5"/>
      <c r="AH102" s="5" t="s">
        <v>416</v>
      </c>
    </row>
    <row r="103" spans="2:34" ht="21" customHeight="1" outlineLevel="3" x14ac:dyDescent="0.2">
      <c r="B103" s="4">
        <v>63</v>
      </c>
      <c r="C103" s="5" t="s">
        <v>439</v>
      </c>
      <c r="D103" s="5" t="s">
        <v>440</v>
      </c>
      <c r="E103" s="6" t="s">
        <v>441</v>
      </c>
      <c r="F103" s="10"/>
      <c r="G103" s="11" t="s">
        <v>442</v>
      </c>
      <c r="H103" s="12">
        <v>10</v>
      </c>
      <c r="I103" s="13" t="s">
        <v>41</v>
      </c>
      <c r="J103" s="13"/>
      <c r="K103" s="13"/>
      <c r="L103" s="4">
        <v>1</v>
      </c>
      <c r="M103" s="14">
        <f>697*(1-P3/100)</f>
        <v>697</v>
      </c>
      <c r="N103" s="15"/>
      <c r="O103" s="13">
        <f t="shared" si="3"/>
        <v>0</v>
      </c>
      <c r="P103" s="22">
        <f>0.433*N103</f>
        <v>0</v>
      </c>
      <c r="Q103" s="23">
        <f>0.00067*N103</f>
        <v>0</v>
      </c>
      <c r="R103" s="24"/>
      <c r="S103" s="25" t="s">
        <v>443</v>
      </c>
      <c r="T103" s="25" t="s">
        <v>43</v>
      </c>
      <c r="U103" s="5"/>
      <c r="V103" s="5"/>
      <c r="W103" s="5" t="s">
        <v>46</v>
      </c>
      <c r="X103" s="5"/>
      <c r="Y103" s="5"/>
      <c r="Z103" s="5" t="str">
        <f>HYPERLINK("https://knigipp.ru/api/getInfo/image/8e973752-8410-11f0-a284-00155d82e908")</f>
        <v>https://knigipp.ru/api/getInfo/image/8e973752-8410-11f0-a284-00155d82e908</v>
      </c>
      <c r="AA103" s="33">
        <v>20</v>
      </c>
      <c r="AB103" s="5" t="s">
        <v>47</v>
      </c>
      <c r="AC103" s="5" t="s">
        <v>96</v>
      </c>
      <c r="AD103" s="5"/>
      <c r="AE103" s="5" t="s">
        <v>49</v>
      </c>
      <c r="AF103" s="5"/>
      <c r="AG103" s="5"/>
      <c r="AH103" s="5" t="s">
        <v>416</v>
      </c>
    </row>
    <row r="104" spans="2:34" ht="22.95" customHeight="1" outlineLevel="2" x14ac:dyDescent="0.2">
      <c r="B104" s="73" t="s">
        <v>444</v>
      </c>
      <c r="C104" s="73"/>
      <c r="D104" s="73"/>
    </row>
    <row r="105" spans="2:34" ht="21" customHeight="1" outlineLevel="3" x14ac:dyDescent="0.2">
      <c r="B105" s="4">
        <v>64</v>
      </c>
      <c r="C105" s="5" t="s">
        <v>445</v>
      </c>
      <c r="D105" s="5" t="s">
        <v>446</v>
      </c>
      <c r="E105" s="6" t="s">
        <v>447</v>
      </c>
      <c r="F105" s="10"/>
      <c r="G105" s="11" t="s">
        <v>448</v>
      </c>
      <c r="H105" s="12">
        <v>10</v>
      </c>
      <c r="I105" s="13" t="s">
        <v>261</v>
      </c>
      <c r="J105" s="13"/>
      <c r="K105" s="13"/>
      <c r="L105" s="4">
        <v>2</v>
      </c>
      <c r="M105" s="14">
        <f>349*(1-P3/100)</f>
        <v>349</v>
      </c>
      <c r="N105" s="15"/>
      <c r="O105" s="13">
        <f>M105*N105</f>
        <v>0</v>
      </c>
      <c r="P105" s="22">
        <f>0.408*N105</f>
        <v>0</v>
      </c>
      <c r="Q105" s="23">
        <f>0.00052*N105</f>
        <v>0</v>
      </c>
      <c r="R105" s="24"/>
      <c r="S105" s="25" t="s">
        <v>449</v>
      </c>
      <c r="T105" s="25" t="s">
        <v>43</v>
      </c>
      <c r="U105" s="5"/>
      <c r="V105" s="5"/>
      <c r="W105" s="5" t="s">
        <v>46</v>
      </c>
      <c r="X105" s="5"/>
      <c r="Y105" s="5"/>
      <c r="Z105" s="5" t="str">
        <f>HYPERLINK("https://knigipp.ru/api/getInfo/image/86aa6fb6-c39b-11eb-a206-ac1f6b442185")</f>
        <v>https://knigipp.ru/api/getInfo/image/86aa6fb6-c39b-11eb-a206-ac1f6b442185</v>
      </c>
      <c r="AA105" s="33">
        <v>32</v>
      </c>
      <c r="AB105" s="5"/>
      <c r="AC105" s="5" t="s">
        <v>96</v>
      </c>
      <c r="AD105" s="5"/>
      <c r="AE105" s="5" t="s">
        <v>49</v>
      </c>
      <c r="AF105" s="5"/>
      <c r="AG105" s="5"/>
      <c r="AH105" s="5" t="s">
        <v>450</v>
      </c>
    </row>
    <row r="106" spans="2:34" ht="21" customHeight="1" outlineLevel="3" x14ac:dyDescent="0.2">
      <c r="B106" s="4">
        <v>65</v>
      </c>
      <c r="C106" s="5" t="s">
        <v>451</v>
      </c>
      <c r="D106" s="5" t="s">
        <v>452</v>
      </c>
      <c r="E106" s="6" t="s">
        <v>453</v>
      </c>
      <c r="F106" s="10"/>
      <c r="G106" s="11" t="s">
        <v>448</v>
      </c>
      <c r="H106" s="12">
        <v>10</v>
      </c>
      <c r="I106" s="13" t="s">
        <v>41</v>
      </c>
      <c r="J106" s="13"/>
      <c r="K106" s="13"/>
      <c r="L106" s="4">
        <v>2</v>
      </c>
      <c r="M106" s="14">
        <f>349*(1-P3/100)</f>
        <v>349</v>
      </c>
      <c r="N106" s="15"/>
      <c r="O106" s="13">
        <f>M106*N106</f>
        <v>0</v>
      </c>
      <c r="P106" s="22">
        <f>0.402*N106</f>
        <v>0</v>
      </c>
      <c r="Q106" s="23">
        <f>0.00066*N106</f>
        <v>0</v>
      </c>
      <c r="R106" s="24"/>
      <c r="S106" s="25" t="s">
        <v>454</v>
      </c>
      <c r="T106" s="25" t="s">
        <v>43</v>
      </c>
      <c r="U106" s="5"/>
      <c r="V106" s="5"/>
      <c r="W106" s="5" t="s">
        <v>46</v>
      </c>
      <c r="X106" s="5"/>
      <c r="Y106" s="5"/>
      <c r="Z106" s="5" t="str">
        <f>HYPERLINK("https://knigipp.ru/api/getInfo/image/642a8b7d-c39b-11eb-a206-ac1f6b442185")</f>
        <v>https://knigipp.ru/api/getInfo/image/642a8b7d-c39b-11eb-a206-ac1f6b442185</v>
      </c>
      <c r="AA106" s="33">
        <v>32</v>
      </c>
      <c r="AB106" s="5"/>
      <c r="AC106" s="5" t="s">
        <v>96</v>
      </c>
      <c r="AD106" s="5"/>
      <c r="AE106" s="5" t="s">
        <v>49</v>
      </c>
      <c r="AF106" s="5"/>
      <c r="AG106" s="5"/>
      <c r="AH106" s="5" t="s">
        <v>450</v>
      </c>
    </row>
    <row r="107" spans="2:34" ht="21" customHeight="1" outlineLevel="3" x14ac:dyDescent="0.2">
      <c r="B107" s="4">
        <v>66</v>
      </c>
      <c r="C107" s="5" t="s">
        <v>455</v>
      </c>
      <c r="D107" s="5" t="s">
        <v>456</v>
      </c>
      <c r="E107" s="6" t="s">
        <v>457</v>
      </c>
      <c r="F107" s="10"/>
      <c r="G107" s="11" t="s">
        <v>448</v>
      </c>
      <c r="H107" s="12">
        <v>10</v>
      </c>
      <c r="I107" s="13" t="s">
        <v>371</v>
      </c>
      <c r="J107" s="13"/>
      <c r="K107" s="13"/>
      <c r="L107" s="4">
        <v>2</v>
      </c>
      <c r="M107" s="14">
        <f>349*(1-P3/100)</f>
        <v>349</v>
      </c>
      <c r="N107" s="15"/>
      <c r="O107" s="13">
        <f>M107*N107</f>
        <v>0</v>
      </c>
      <c r="P107" s="22">
        <f>0.399*N107</f>
        <v>0</v>
      </c>
      <c r="Q107" s="23">
        <f>0.00039*N107</f>
        <v>0</v>
      </c>
      <c r="R107" s="24"/>
      <c r="S107" s="25" t="s">
        <v>458</v>
      </c>
      <c r="T107" s="25" t="s">
        <v>43</v>
      </c>
      <c r="U107" s="5"/>
      <c r="V107" s="5"/>
      <c r="W107" s="5" t="s">
        <v>46</v>
      </c>
      <c r="X107" s="5"/>
      <c r="Y107" s="5"/>
      <c r="Z107" s="5" t="str">
        <f>HYPERLINK("https://knigipp.ru/api/getInfo/image/3333ae91-b810-11ed-a230-00155d82e902")</f>
        <v>https://knigipp.ru/api/getInfo/image/3333ae91-b810-11ed-a230-00155d82e902</v>
      </c>
      <c r="AA107" s="33">
        <v>32</v>
      </c>
      <c r="AB107" s="5"/>
      <c r="AC107" s="5" t="s">
        <v>96</v>
      </c>
      <c r="AD107" s="5"/>
      <c r="AE107" s="5" t="s">
        <v>49</v>
      </c>
      <c r="AF107" s="5"/>
      <c r="AG107" s="5"/>
      <c r="AH107" s="5" t="s">
        <v>450</v>
      </c>
    </row>
    <row r="108" spans="2:34" ht="21" customHeight="1" outlineLevel="3" x14ac:dyDescent="0.2">
      <c r="B108" s="4">
        <v>67</v>
      </c>
      <c r="C108" s="5" t="s">
        <v>459</v>
      </c>
      <c r="D108" s="5" t="s">
        <v>460</v>
      </c>
      <c r="E108" s="6" t="s">
        <v>461</v>
      </c>
      <c r="F108" s="10"/>
      <c r="G108" s="11" t="s">
        <v>448</v>
      </c>
      <c r="H108" s="12">
        <v>10</v>
      </c>
      <c r="I108" s="13" t="s">
        <v>371</v>
      </c>
      <c r="J108" s="13"/>
      <c r="K108" s="13"/>
      <c r="L108" s="4">
        <v>2</v>
      </c>
      <c r="M108" s="14">
        <f>349*(1-P3/100)</f>
        <v>349</v>
      </c>
      <c r="N108" s="15"/>
      <c r="O108" s="13">
        <f>M108*N108</f>
        <v>0</v>
      </c>
      <c r="P108" s="22">
        <f>0.404*N108</f>
        <v>0</v>
      </c>
      <c r="Q108" s="23">
        <f>0.00066*N108</f>
        <v>0</v>
      </c>
      <c r="R108" s="24"/>
      <c r="S108" s="25" t="s">
        <v>462</v>
      </c>
      <c r="T108" s="25" t="s">
        <v>43</v>
      </c>
      <c r="U108" s="5"/>
      <c r="V108" s="5"/>
      <c r="W108" s="5" t="s">
        <v>463</v>
      </c>
      <c r="X108" s="5"/>
      <c r="Y108" s="5"/>
      <c r="Z108" s="5" t="str">
        <f>HYPERLINK("https://knigipp.ru/api/getInfo/image/f79037ef-d20c-11ed-a230-00155d82e902")</f>
        <v>https://knigipp.ru/api/getInfo/image/f79037ef-d20c-11ed-a230-00155d82e902</v>
      </c>
      <c r="AA108" s="33">
        <v>32</v>
      </c>
      <c r="AB108" s="5"/>
      <c r="AC108" s="5" t="s">
        <v>96</v>
      </c>
      <c r="AD108" s="5"/>
      <c r="AE108" s="5" t="s">
        <v>49</v>
      </c>
      <c r="AF108" s="5"/>
      <c r="AG108" s="5"/>
      <c r="AH108" s="5" t="s">
        <v>450</v>
      </c>
    </row>
    <row r="109" spans="2:34" ht="22.95" customHeight="1" outlineLevel="1" x14ac:dyDescent="0.2">
      <c r="B109" s="72" t="s">
        <v>464</v>
      </c>
      <c r="C109" s="72"/>
      <c r="D109" s="72"/>
    </row>
    <row r="110" spans="2:34" ht="22.95" customHeight="1" outlineLevel="2" x14ac:dyDescent="0.2">
      <c r="B110" s="73" t="s">
        <v>465</v>
      </c>
      <c r="C110" s="73"/>
      <c r="D110" s="73"/>
    </row>
    <row r="111" spans="2:34" ht="22.95" customHeight="1" outlineLevel="3" x14ac:dyDescent="0.2">
      <c r="B111" s="74" t="s">
        <v>466</v>
      </c>
      <c r="C111" s="74"/>
      <c r="D111" s="74"/>
    </row>
    <row r="112" spans="2:34" ht="21" customHeight="1" outlineLevel="4" x14ac:dyDescent="0.2">
      <c r="B112" s="4">
        <v>68</v>
      </c>
      <c r="C112" s="5" t="s">
        <v>467</v>
      </c>
      <c r="D112" s="5" t="s">
        <v>468</v>
      </c>
      <c r="E112" s="6" t="s">
        <v>469</v>
      </c>
      <c r="F112" s="10"/>
      <c r="G112" s="11" t="s">
        <v>470</v>
      </c>
      <c r="H112" s="12">
        <v>50</v>
      </c>
      <c r="I112" s="13" t="s">
        <v>261</v>
      </c>
      <c r="J112" s="13"/>
      <c r="K112" s="13"/>
      <c r="L112" s="4">
        <v>7</v>
      </c>
      <c r="M112" s="14">
        <f>99*(1-P3/100)</f>
        <v>99</v>
      </c>
      <c r="N112" s="15"/>
      <c r="O112" s="13">
        <f>M112*N112</f>
        <v>0</v>
      </c>
      <c r="P112" s="13">
        <v>0</v>
      </c>
      <c r="Q112" s="13">
        <v>0</v>
      </c>
      <c r="R112" s="24"/>
      <c r="S112" s="25" t="s">
        <v>471</v>
      </c>
      <c r="T112" s="25" t="s">
        <v>43</v>
      </c>
      <c r="U112" s="5"/>
      <c r="V112" s="5"/>
      <c r="W112" s="5" t="s">
        <v>46</v>
      </c>
      <c r="X112" s="5"/>
      <c r="Y112" s="5"/>
      <c r="Z112" s="5" t="str">
        <f>HYPERLINK("https://knigipp.ru/api/getInfo/image/bfd4940c-723d-11ed-a22a-00155d82e902")</f>
        <v>https://knigipp.ru/api/getInfo/image/bfd4940c-723d-11ed-a22a-00155d82e902</v>
      </c>
      <c r="AA112" s="33">
        <v>16</v>
      </c>
      <c r="AB112" s="5"/>
      <c r="AC112" s="5" t="s">
        <v>96</v>
      </c>
      <c r="AD112" s="5"/>
      <c r="AE112" s="5" t="s">
        <v>49</v>
      </c>
      <c r="AF112" s="5"/>
      <c r="AG112" s="5"/>
      <c r="AH112" s="5" t="s">
        <v>472</v>
      </c>
    </row>
    <row r="113" spans="2:34" ht="21" customHeight="1" outlineLevel="4" x14ac:dyDescent="0.2">
      <c r="B113" s="4">
        <v>69</v>
      </c>
      <c r="C113" s="5" t="s">
        <v>473</v>
      </c>
      <c r="D113" s="5" t="s">
        <v>474</v>
      </c>
      <c r="E113" s="6" t="s">
        <v>475</v>
      </c>
      <c r="F113" s="10"/>
      <c r="G113" s="11" t="s">
        <v>470</v>
      </c>
      <c r="H113" s="12">
        <v>50</v>
      </c>
      <c r="I113" s="13" t="s">
        <v>371</v>
      </c>
      <c r="J113" s="13"/>
      <c r="K113" s="13"/>
      <c r="L113" s="4">
        <v>7</v>
      </c>
      <c r="M113" s="14">
        <f>99*(1-P3/100)</f>
        <v>99</v>
      </c>
      <c r="N113" s="15"/>
      <c r="O113" s="13">
        <f>M113*N113</f>
        <v>0</v>
      </c>
      <c r="P113" s="13">
        <v>0</v>
      </c>
      <c r="Q113" s="13">
        <v>0</v>
      </c>
      <c r="R113" s="24"/>
      <c r="S113" s="25" t="s">
        <v>476</v>
      </c>
      <c r="T113" s="25" t="s">
        <v>43</v>
      </c>
      <c r="U113" s="5"/>
      <c r="V113" s="5"/>
      <c r="W113" s="5" t="s">
        <v>46</v>
      </c>
      <c r="X113" s="5"/>
      <c r="Y113" s="5"/>
      <c r="Z113" s="5" t="str">
        <f>HYPERLINK("https://knigipp.ru/api/getInfo/image/e3612e4d-723d-11ed-a22a-00155d82e902")</f>
        <v>https://knigipp.ru/api/getInfo/image/e3612e4d-723d-11ed-a22a-00155d82e902</v>
      </c>
      <c r="AA113" s="33">
        <v>16</v>
      </c>
      <c r="AB113" s="5"/>
      <c r="AC113" s="5" t="s">
        <v>96</v>
      </c>
      <c r="AD113" s="5"/>
      <c r="AE113" s="5" t="s">
        <v>49</v>
      </c>
      <c r="AF113" s="5"/>
      <c r="AG113" s="5"/>
      <c r="AH113" s="5" t="s">
        <v>472</v>
      </c>
    </row>
    <row r="114" spans="2:34" ht="22.95" customHeight="1" outlineLevel="3" x14ac:dyDescent="0.2">
      <c r="B114" s="74" t="s">
        <v>477</v>
      </c>
      <c r="C114" s="74"/>
      <c r="D114" s="74"/>
    </row>
    <row r="115" spans="2:34" ht="21" customHeight="1" outlineLevel="4" x14ac:dyDescent="0.2">
      <c r="B115" s="4">
        <v>70</v>
      </c>
      <c r="C115" s="5" t="s">
        <v>478</v>
      </c>
      <c r="D115" s="5" t="s">
        <v>479</v>
      </c>
      <c r="E115" s="6" t="s">
        <v>480</v>
      </c>
      <c r="F115" s="10"/>
      <c r="G115" s="11" t="s">
        <v>481</v>
      </c>
      <c r="H115" s="12">
        <v>50</v>
      </c>
      <c r="I115" s="13" t="s">
        <v>41</v>
      </c>
      <c r="J115" s="13"/>
      <c r="K115" s="13"/>
      <c r="L115" s="4">
        <v>7</v>
      </c>
      <c r="M115" s="14">
        <f>99*(1-P3/100)</f>
        <v>99</v>
      </c>
      <c r="N115" s="15"/>
      <c r="O115" s="13">
        <f>M115*N115</f>
        <v>0</v>
      </c>
      <c r="P115" s="22">
        <f>0.063*N115</f>
        <v>0</v>
      </c>
      <c r="Q115" s="23">
        <f>0.00039*N115</f>
        <v>0</v>
      </c>
      <c r="R115" s="24"/>
      <c r="S115" s="25" t="s">
        <v>482</v>
      </c>
      <c r="T115" s="25" t="s">
        <v>43</v>
      </c>
      <c r="U115" s="5"/>
      <c r="V115" s="5"/>
      <c r="W115" s="5" t="s">
        <v>46</v>
      </c>
      <c r="X115" s="5"/>
      <c r="Y115" s="5"/>
      <c r="Z115" s="5" t="str">
        <f>HYPERLINK("https://knigipp.ru/api/getInfo/image/b5dfcb98-b18e-11ec-a211-ac1f6b442185")</f>
        <v>https://knigipp.ru/api/getInfo/image/b5dfcb98-b18e-11ec-a211-ac1f6b442185</v>
      </c>
      <c r="AA115" s="33">
        <v>16</v>
      </c>
      <c r="AB115" s="5"/>
      <c r="AC115" s="5" t="s">
        <v>96</v>
      </c>
      <c r="AD115" s="5"/>
      <c r="AE115" s="5" t="s">
        <v>49</v>
      </c>
      <c r="AF115" s="5"/>
      <c r="AG115" s="5"/>
      <c r="AH115" s="5" t="s">
        <v>472</v>
      </c>
    </row>
    <row r="116" spans="2:34" ht="21" customHeight="1" outlineLevel="4" x14ac:dyDescent="0.2">
      <c r="B116" s="4">
        <v>71</v>
      </c>
      <c r="C116" s="5" t="s">
        <v>483</v>
      </c>
      <c r="D116" s="5" t="s">
        <v>484</v>
      </c>
      <c r="E116" s="6" t="s">
        <v>485</v>
      </c>
      <c r="F116" s="10"/>
      <c r="G116" s="11" t="s">
        <v>481</v>
      </c>
      <c r="H116" s="12">
        <v>50</v>
      </c>
      <c r="I116" s="13" t="s">
        <v>41</v>
      </c>
      <c r="J116" s="13"/>
      <c r="K116" s="13"/>
      <c r="L116" s="4">
        <v>7</v>
      </c>
      <c r="M116" s="14">
        <f>99*(1-P3/100)</f>
        <v>99</v>
      </c>
      <c r="N116" s="15"/>
      <c r="O116" s="13">
        <f>M116*N116</f>
        <v>0</v>
      </c>
      <c r="P116" s="22">
        <f>0.066*N116</f>
        <v>0</v>
      </c>
      <c r="Q116" s="23">
        <f>0.00033*N116</f>
        <v>0</v>
      </c>
      <c r="R116" s="24"/>
      <c r="S116" s="25" t="s">
        <v>486</v>
      </c>
      <c r="T116" s="25" t="s">
        <v>43</v>
      </c>
      <c r="U116" s="5"/>
      <c r="V116" s="5"/>
      <c r="W116" s="5" t="s">
        <v>46</v>
      </c>
      <c r="X116" s="5"/>
      <c r="Y116" s="5"/>
      <c r="Z116" s="5" t="str">
        <f>HYPERLINK("https://knigipp.ru/api/getInfo/image/e0166c8d-b18e-11ec-a211-ac1f6b442185")</f>
        <v>https://knigipp.ru/api/getInfo/image/e0166c8d-b18e-11ec-a211-ac1f6b442185</v>
      </c>
      <c r="AA116" s="33">
        <v>16</v>
      </c>
      <c r="AB116" s="5"/>
      <c r="AC116" s="5" t="s">
        <v>96</v>
      </c>
      <c r="AD116" s="5"/>
      <c r="AE116" s="5" t="s">
        <v>49</v>
      </c>
      <c r="AF116" s="5"/>
      <c r="AG116" s="5"/>
      <c r="AH116" s="5" t="s">
        <v>472</v>
      </c>
    </row>
    <row r="117" spans="2:34" ht="21" customHeight="1" outlineLevel="4" x14ac:dyDescent="0.2">
      <c r="B117" s="4">
        <v>72</v>
      </c>
      <c r="C117" s="5" t="s">
        <v>487</v>
      </c>
      <c r="D117" s="5" t="s">
        <v>488</v>
      </c>
      <c r="E117" s="6" t="s">
        <v>489</v>
      </c>
      <c r="F117" s="10"/>
      <c r="G117" s="11" t="s">
        <v>481</v>
      </c>
      <c r="H117" s="12">
        <v>50</v>
      </c>
      <c r="I117" s="13" t="s">
        <v>41</v>
      </c>
      <c r="J117" s="13"/>
      <c r="K117" s="13"/>
      <c r="L117" s="4">
        <v>7</v>
      </c>
      <c r="M117" s="14">
        <f>99*(1-P3/100)</f>
        <v>99</v>
      </c>
      <c r="N117" s="15"/>
      <c r="O117" s="13">
        <f>M117*N117</f>
        <v>0</v>
      </c>
      <c r="P117" s="22">
        <f>0.067*N117</f>
        <v>0</v>
      </c>
      <c r="Q117" s="23">
        <f>0.00039*N117</f>
        <v>0</v>
      </c>
      <c r="R117" s="24"/>
      <c r="S117" s="25" t="s">
        <v>490</v>
      </c>
      <c r="T117" s="25" t="s">
        <v>43</v>
      </c>
      <c r="U117" s="5"/>
      <c r="V117" s="5"/>
      <c r="W117" s="5" t="s">
        <v>46</v>
      </c>
      <c r="X117" s="5"/>
      <c r="Y117" s="5"/>
      <c r="Z117" s="5" t="str">
        <f>HYPERLINK("https://knigipp.ru/api/getInfo/image/424e0acb-b18e-11ec-a211-ac1f6b442185")</f>
        <v>https://knigipp.ru/api/getInfo/image/424e0acb-b18e-11ec-a211-ac1f6b442185</v>
      </c>
      <c r="AA117" s="33">
        <v>16</v>
      </c>
      <c r="AB117" s="5"/>
      <c r="AC117" s="5" t="s">
        <v>96</v>
      </c>
      <c r="AD117" s="5"/>
      <c r="AE117" s="5" t="s">
        <v>49</v>
      </c>
      <c r="AF117" s="5"/>
      <c r="AG117" s="5"/>
      <c r="AH117" s="5" t="s">
        <v>472</v>
      </c>
    </row>
    <row r="118" spans="2:34" ht="21" customHeight="1" outlineLevel="4" x14ac:dyDescent="0.2">
      <c r="B118" s="4">
        <v>73</v>
      </c>
      <c r="C118" s="5" t="s">
        <v>491</v>
      </c>
      <c r="D118" s="5" t="s">
        <v>492</v>
      </c>
      <c r="E118" s="6" t="s">
        <v>493</v>
      </c>
      <c r="F118" s="10"/>
      <c r="G118" s="11" t="s">
        <v>481</v>
      </c>
      <c r="H118" s="12">
        <v>50</v>
      </c>
      <c r="I118" s="13" t="s">
        <v>41</v>
      </c>
      <c r="J118" s="13"/>
      <c r="K118" s="13"/>
      <c r="L118" s="4">
        <v>7</v>
      </c>
      <c r="M118" s="14">
        <f>99*(1-P3/100)</f>
        <v>99</v>
      </c>
      <c r="N118" s="15"/>
      <c r="O118" s="13">
        <f>M118*N118</f>
        <v>0</v>
      </c>
      <c r="P118" s="22">
        <f>0.066*N118</f>
        <v>0</v>
      </c>
      <c r="Q118" s="30">
        <f>0.0002*N118</f>
        <v>0</v>
      </c>
      <c r="R118" s="24"/>
      <c r="S118" s="25" t="s">
        <v>494</v>
      </c>
      <c r="T118" s="25" t="s">
        <v>43</v>
      </c>
      <c r="U118" s="5"/>
      <c r="V118" s="5"/>
      <c r="W118" s="5" t="s">
        <v>46</v>
      </c>
      <c r="X118" s="5"/>
      <c r="Y118" s="5"/>
      <c r="Z118" s="5" t="str">
        <f>HYPERLINK("https://knigipp.ru/api/getInfo/image/84256d24-b18e-11ec-a211-ac1f6b442185")</f>
        <v>https://knigipp.ru/api/getInfo/image/84256d24-b18e-11ec-a211-ac1f6b442185</v>
      </c>
      <c r="AA118" s="33">
        <v>16</v>
      </c>
      <c r="AB118" s="5"/>
      <c r="AC118" s="5" t="s">
        <v>96</v>
      </c>
      <c r="AD118" s="5"/>
      <c r="AE118" s="5" t="s">
        <v>49</v>
      </c>
      <c r="AF118" s="5"/>
      <c r="AG118" s="5"/>
      <c r="AH118" s="5" t="s">
        <v>472</v>
      </c>
    </row>
    <row r="119" spans="2:34" ht="22.95" customHeight="1" outlineLevel="3" x14ac:dyDescent="0.2">
      <c r="B119" s="74" t="s">
        <v>495</v>
      </c>
      <c r="C119" s="74"/>
      <c r="D119" s="74"/>
    </row>
    <row r="120" spans="2:34" ht="21" customHeight="1" outlineLevel="4" x14ac:dyDescent="0.2">
      <c r="B120" s="4">
        <v>74</v>
      </c>
      <c r="C120" s="5" t="s">
        <v>496</v>
      </c>
      <c r="D120" s="5" t="s">
        <v>497</v>
      </c>
      <c r="E120" s="6" t="s">
        <v>498</v>
      </c>
      <c r="F120" s="10"/>
      <c r="G120" s="11" t="s">
        <v>499</v>
      </c>
      <c r="H120" s="12">
        <v>50</v>
      </c>
      <c r="I120" s="13" t="s">
        <v>371</v>
      </c>
      <c r="J120" s="13"/>
      <c r="K120" s="13"/>
      <c r="L120" s="4">
        <v>8</v>
      </c>
      <c r="M120" s="14">
        <f>79*(1-P3/100)</f>
        <v>79</v>
      </c>
      <c r="N120" s="15"/>
      <c r="O120" s="13">
        <f>M120*N120</f>
        <v>0</v>
      </c>
      <c r="P120" s="13">
        <v>0</v>
      </c>
      <c r="Q120" s="13">
        <v>0</v>
      </c>
      <c r="R120" s="24"/>
      <c r="S120" s="25" t="s">
        <v>500</v>
      </c>
      <c r="T120" s="25" t="s">
        <v>43</v>
      </c>
      <c r="U120" s="5"/>
      <c r="V120" s="5"/>
      <c r="W120" s="5"/>
      <c r="X120" s="5"/>
      <c r="Y120" s="5"/>
      <c r="Z120" s="5" t="str">
        <f>HYPERLINK("https://knigipp.ru/api/getInfo/image/78e9f0ed-e1ae-11ec-a213-ac1f6b442185")</f>
        <v>https://knigipp.ru/api/getInfo/image/78e9f0ed-e1ae-11ec-a213-ac1f6b442185</v>
      </c>
      <c r="AA120" s="33">
        <v>16</v>
      </c>
      <c r="AB120" s="5"/>
      <c r="AC120" s="5" t="s">
        <v>96</v>
      </c>
      <c r="AD120" s="5"/>
      <c r="AE120" s="5" t="s">
        <v>49</v>
      </c>
      <c r="AF120" s="5"/>
      <c r="AG120" s="5"/>
      <c r="AH120" s="5" t="s">
        <v>238</v>
      </c>
    </row>
    <row r="121" spans="2:34" ht="22.95" customHeight="1" outlineLevel="2" x14ac:dyDescent="0.2">
      <c r="B121" s="73" t="s">
        <v>501</v>
      </c>
      <c r="C121" s="73"/>
      <c r="D121" s="73"/>
    </row>
    <row r="122" spans="2:34" ht="21" customHeight="1" outlineLevel="3" x14ac:dyDescent="0.2">
      <c r="B122" s="4">
        <v>75</v>
      </c>
      <c r="C122" s="5" t="s">
        <v>502</v>
      </c>
      <c r="D122" s="5" t="s">
        <v>503</v>
      </c>
      <c r="E122" s="6" t="s">
        <v>504</v>
      </c>
      <c r="F122" s="10"/>
      <c r="G122" s="11" t="s">
        <v>505</v>
      </c>
      <c r="H122" s="12">
        <v>10</v>
      </c>
      <c r="I122" s="13" t="s">
        <v>41</v>
      </c>
      <c r="J122" s="13"/>
      <c r="K122" s="13"/>
      <c r="L122" s="4">
        <v>3</v>
      </c>
      <c r="M122" s="14">
        <f>249*(1-P3/100)</f>
        <v>249</v>
      </c>
      <c r="N122" s="15"/>
      <c r="O122" s="13">
        <f>M122*N122</f>
        <v>0</v>
      </c>
      <c r="P122" s="22">
        <f>0.319*N122</f>
        <v>0</v>
      </c>
      <c r="Q122" s="23">
        <f>0.00056*N122</f>
        <v>0</v>
      </c>
      <c r="R122" s="24"/>
      <c r="S122" s="25" t="s">
        <v>506</v>
      </c>
      <c r="T122" s="25" t="s">
        <v>43</v>
      </c>
      <c r="U122" s="5" t="s">
        <v>128</v>
      </c>
      <c r="V122" s="5"/>
      <c r="W122" s="5" t="s">
        <v>46</v>
      </c>
      <c r="X122" s="5"/>
      <c r="Y122" s="5"/>
      <c r="Z122" s="5" t="str">
        <f>HYPERLINK("https://knigipp.ru/api/getInfo/image/b69bf12d-9109-11e9-a226-ac1f6b442184")</f>
        <v>https://knigipp.ru/api/getInfo/image/b69bf12d-9109-11e9-a226-ac1f6b442184</v>
      </c>
      <c r="AA122" s="33">
        <v>24</v>
      </c>
      <c r="AB122" s="5"/>
      <c r="AC122" s="5" t="s">
        <v>86</v>
      </c>
      <c r="AD122" s="5"/>
      <c r="AE122" s="5" t="s">
        <v>49</v>
      </c>
      <c r="AF122" s="5"/>
      <c r="AG122" s="5"/>
      <c r="AH122" s="5" t="s">
        <v>507</v>
      </c>
    </row>
    <row r="123" spans="2:34" ht="21" customHeight="1" outlineLevel="3" x14ac:dyDescent="0.2">
      <c r="B123" s="4">
        <v>76</v>
      </c>
      <c r="C123" s="5" t="s">
        <v>508</v>
      </c>
      <c r="D123" s="5" t="s">
        <v>509</v>
      </c>
      <c r="E123" s="6" t="s">
        <v>510</v>
      </c>
      <c r="F123" s="10"/>
      <c r="G123" s="11" t="s">
        <v>511</v>
      </c>
      <c r="H123" s="12">
        <v>10</v>
      </c>
      <c r="I123" s="13" t="s">
        <v>41</v>
      </c>
      <c r="J123" s="13"/>
      <c r="K123" s="13"/>
      <c r="L123" s="4">
        <v>3</v>
      </c>
      <c r="M123" s="14">
        <f>249*(1-P3/100)</f>
        <v>249</v>
      </c>
      <c r="N123" s="15"/>
      <c r="O123" s="13">
        <f>M123*N123</f>
        <v>0</v>
      </c>
      <c r="P123" s="22">
        <f>0.321*N123</f>
        <v>0</v>
      </c>
      <c r="Q123" s="23">
        <f>0.00044*N123</f>
        <v>0</v>
      </c>
      <c r="R123" s="24"/>
      <c r="S123" s="25" t="s">
        <v>512</v>
      </c>
      <c r="T123" s="25" t="s">
        <v>43</v>
      </c>
      <c r="U123" s="5" t="s">
        <v>513</v>
      </c>
      <c r="V123" s="5"/>
      <c r="W123" s="5" t="s">
        <v>46</v>
      </c>
      <c r="X123" s="5"/>
      <c r="Y123" s="5"/>
      <c r="Z123" s="5" t="str">
        <f>HYPERLINK("https://knigipp.ru/api/getInfo/image/f617d410-e38d-11e9-a235-ac1f6b442184")</f>
        <v>https://knigipp.ru/api/getInfo/image/f617d410-e38d-11e9-a235-ac1f6b442184</v>
      </c>
      <c r="AA123" s="33">
        <v>24</v>
      </c>
      <c r="AB123" s="5"/>
      <c r="AC123" s="5" t="s">
        <v>86</v>
      </c>
      <c r="AD123" s="5"/>
      <c r="AE123" s="5" t="s">
        <v>49</v>
      </c>
      <c r="AF123" s="5"/>
      <c r="AG123" s="5"/>
      <c r="AH123" s="5" t="s">
        <v>507</v>
      </c>
    </row>
    <row r="124" spans="2:34" ht="22.95" customHeight="1" outlineLevel="2" x14ac:dyDescent="0.2">
      <c r="B124" s="73" t="s">
        <v>514</v>
      </c>
      <c r="C124" s="73"/>
      <c r="D124" s="73"/>
    </row>
    <row r="125" spans="2:34" ht="22.95" customHeight="1" outlineLevel="3" x14ac:dyDescent="0.2">
      <c r="B125" s="74" t="s">
        <v>515</v>
      </c>
      <c r="C125" s="74"/>
      <c r="D125" s="74"/>
    </row>
    <row r="126" spans="2:34" ht="21" customHeight="1" outlineLevel="4" x14ac:dyDescent="0.2">
      <c r="B126" s="4">
        <v>77</v>
      </c>
      <c r="C126" s="5" t="s">
        <v>516</v>
      </c>
      <c r="D126" s="5" t="s">
        <v>517</v>
      </c>
      <c r="E126" s="6" t="s">
        <v>518</v>
      </c>
      <c r="F126" s="10"/>
      <c r="G126" s="11" t="s">
        <v>519</v>
      </c>
      <c r="H126" s="12">
        <v>20</v>
      </c>
      <c r="I126" s="13" t="s">
        <v>261</v>
      </c>
      <c r="J126" s="13"/>
      <c r="K126" s="13"/>
      <c r="L126" s="4">
        <v>3</v>
      </c>
      <c r="M126" s="14">
        <f>249*(1-P3/100)</f>
        <v>249</v>
      </c>
      <c r="N126" s="15"/>
      <c r="O126" s="13">
        <f>M126*N126</f>
        <v>0</v>
      </c>
      <c r="P126" s="22">
        <f>0.226*N126</f>
        <v>0</v>
      </c>
      <c r="Q126" s="23">
        <f>0.00024*N126</f>
        <v>0</v>
      </c>
      <c r="R126" s="24"/>
      <c r="S126" s="25" t="s">
        <v>520</v>
      </c>
      <c r="T126" s="25" t="s">
        <v>43</v>
      </c>
      <c r="U126" s="5" t="s">
        <v>157</v>
      </c>
      <c r="V126" s="5"/>
      <c r="W126" s="5" t="s">
        <v>46</v>
      </c>
      <c r="X126" s="5"/>
      <c r="Y126" s="5"/>
      <c r="Z126" s="5" t="str">
        <f>HYPERLINK("https://knigipp.ru/api/getInfo/image/e9699e0e-af67-11e8-a209-ac1f6b442184")</f>
        <v>https://knigipp.ru/api/getInfo/image/e9699e0e-af67-11e8-a209-ac1f6b442184</v>
      </c>
      <c r="AA126" s="33">
        <v>24</v>
      </c>
      <c r="AB126" s="5"/>
      <c r="AC126" s="5" t="s">
        <v>86</v>
      </c>
      <c r="AD126" s="5"/>
      <c r="AE126" s="5" t="s">
        <v>49</v>
      </c>
      <c r="AF126" s="5"/>
      <c r="AG126" s="5"/>
      <c r="AH126" s="5" t="s">
        <v>521</v>
      </c>
    </row>
    <row r="127" spans="2:34" ht="21" customHeight="1" outlineLevel="4" x14ac:dyDescent="0.2">
      <c r="B127" s="4">
        <v>78</v>
      </c>
      <c r="C127" s="5" t="s">
        <v>522</v>
      </c>
      <c r="D127" s="5" t="s">
        <v>523</v>
      </c>
      <c r="E127" s="6" t="s">
        <v>524</v>
      </c>
      <c r="F127" s="10"/>
      <c r="G127" s="11" t="s">
        <v>525</v>
      </c>
      <c r="H127" s="12">
        <v>20</v>
      </c>
      <c r="I127" s="13" t="s">
        <v>261</v>
      </c>
      <c r="J127" s="13"/>
      <c r="K127" s="13"/>
      <c r="L127" s="4">
        <v>3</v>
      </c>
      <c r="M127" s="14">
        <f>249*(1-P3/100)</f>
        <v>249</v>
      </c>
      <c r="N127" s="15"/>
      <c r="O127" s="13">
        <f>M127*N127</f>
        <v>0</v>
      </c>
      <c r="P127" s="22">
        <f>0.226*N127</f>
        <v>0</v>
      </c>
      <c r="Q127" s="23">
        <f>0.00024*N127</f>
        <v>0</v>
      </c>
      <c r="R127" s="24"/>
      <c r="S127" s="25" t="s">
        <v>526</v>
      </c>
      <c r="T127" s="25" t="s">
        <v>43</v>
      </c>
      <c r="U127" s="5" t="s">
        <v>157</v>
      </c>
      <c r="V127" s="5"/>
      <c r="W127" s="5" t="s">
        <v>46</v>
      </c>
      <c r="X127" s="5"/>
      <c r="Y127" s="5"/>
      <c r="Z127" s="5" t="str">
        <f>HYPERLINK("https://knigipp.ru/api/getInfo/image/1bc839e4-ec4b-11ea-a254-ac1f6b442184")</f>
        <v>https://knigipp.ru/api/getInfo/image/1bc839e4-ec4b-11ea-a254-ac1f6b442184</v>
      </c>
      <c r="AA127" s="33">
        <v>24</v>
      </c>
      <c r="AB127" s="5"/>
      <c r="AC127" s="5" t="s">
        <v>86</v>
      </c>
      <c r="AD127" s="5"/>
      <c r="AE127" s="5" t="s">
        <v>49</v>
      </c>
      <c r="AF127" s="5"/>
      <c r="AG127" s="5"/>
      <c r="AH127" s="5" t="s">
        <v>521</v>
      </c>
    </row>
    <row r="128" spans="2:34" ht="22.95" customHeight="1" outlineLevel="3" x14ac:dyDescent="0.2">
      <c r="B128" s="74" t="s">
        <v>527</v>
      </c>
      <c r="C128" s="74"/>
      <c r="D128" s="74"/>
    </row>
    <row r="129" spans="2:34" ht="21" customHeight="1" outlineLevel="4" x14ac:dyDescent="0.2">
      <c r="B129" s="4">
        <v>79</v>
      </c>
      <c r="C129" s="5" t="s">
        <v>528</v>
      </c>
      <c r="D129" s="5" t="s">
        <v>529</v>
      </c>
      <c r="E129" s="6" t="s">
        <v>530</v>
      </c>
      <c r="F129" s="10"/>
      <c r="G129" s="11" t="s">
        <v>531</v>
      </c>
      <c r="H129" s="12">
        <v>50</v>
      </c>
      <c r="I129" s="13" t="s">
        <v>41</v>
      </c>
      <c r="J129" s="13"/>
      <c r="K129" s="13"/>
      <c r="L129" s="4">
        <v>10</v>
      </c>
      <c r="M129" s="14">
        <f>59*(1-P3/100)</f>
        <v>59</v>
      </c>
      <c r="N129" s="15"/>
      <c r="O129" s="13">
        <f>M129*N129</f>
        <v>0</v>
      </c>
      <c r="P129" s="22">
        <f>0.068*N129</f>
        <v>0</v>
      </c>
      <c r="Q129" s="23">
        <f>0.00016*N129</f>
        <v>0</v>
      </c>
      <c r="R129" s="24"/>
      <c r="S129" s="25" t="s">
        <v>532</v>
      </c>
      <c r="T129" s="25" t="s">
        <v>43</v>
      </c>
      <c r="U129" s="5"/>
      <c r="V129" s="5" t="s">
        <v>533</v>
      </c>
      <c r="W129" s="5" t="s">
        <v>46</v>
      </c>
      <c r="X129" s="5"/>
      <c r="Y129" s="5"/>
      <c r="Z129" s="5" t="str">
        <f>HYPERLINK("https://knigipp.ru/api/getInfo/image/75747003-2f26-11eb-a25d-ac1f6b442184")</f>
        <v>https://knigipp.ru/api/getInfo/image/75747003-2f26-11eb-a25d-ac1f6b442184</v>
      </c>
      <c r="AA129" s="33">
        <v>16</v>
      </c>
      <c r="AB129" s="5"/>
      <c r="AC129" s="5" t="s">
        <v>96</v>
      </c>
      <c r="AD129" s="5"/>
      <c r="AE129" s="5" t="s">
        <v>49</v>
      </c>
      <c r="AF129" s="5"/>
      <c r="AG129" s="5"/>
      <c r="AH129" s="5" t="s">
        <v>534</v>
      </c>
    </row>
    <row r="130" spans="2:34" ht="21" customHeight="1" outlineLevel="4" x14ac:dyDescent="0.2">
      <c r="B130" s="4">
        <v>80</v>
      </c>
      <c r="C130" s="5" t="s">
        <v>535</v>
      </c>
      <c r="D130" s="5" t="s">
        <v>536</v>
      </c>
      <c r="E130" s="6" t="s">
        <v>537</v>
      </c>
      <c r="F130" s="10"/>
      <c r="G130" s="11" t="s">
        <v>531</v>
      </c>
      <c r="H130" s="12">
        <v>50</v>
      </c>
      <c r="I130" s="13" t="s">
        <v>41</v>
      </c>
      <c r="J130" s="13"/>
      <c r="K130" s="13"/>
      <c r="L130" s="4">
        <v>10</v>
      </c>
      <c r="M130" s="14">
        <f>59*(1-P3/100)</f>
        <v>59</v>
      </c>
      <c r="N130" s="15"/>
      <c r="O130" s="13">
        <f>M130*N130</f>
        <v>0</v>
      </c>
      <c r="P130" s="22">
        <f>0.068*N130</f>
        <v>0</v>
      </c>
      <c r="Q130" s="23">
        <f>0.00016*N130</f>
        <v>0</v>
      </c>
      <c r="R130" s="24"/>
      <c r="S130" s="25" t="s">
        <v>538</v>
      </c>
      <c r="T130" s="25" t="s">
        <v>43</v>
      </c>
      <c r="U130" s="5"/>
      <c r="V130" s="5" t="s">
        <v>539</v>
      </c>
      <c r="W130" s="5" t="s">
        <v>46</v>
      </c>
      <c r="X130" s="5"/>
      <c r="Y130" s="5"/>
      <c r="Z130" s="5" t="str">
        <f>HYPERLINK("https://knigipp.ru/api/getInfo/image/915c211d-2f26-11eb-a25d-ac1f6b442184")</f>
        <v>https://knigipp.ru/api/getInfo/image/915c211d-2f26-11eb-a25d-ac1f6b442184</v>
      </c>
      <c r="AA130" s="33">
        <v>16</v>
      </c>
      <c r="AB130" s="5"/>
      <c r="AC130" s="5" t="s">
        <v>96</v>
      </c>
      <c r="AD130" s="5"/>
      <c r="AE130" s="5" t="s">
        <v>49</v>
      </c>
      <c r="AF130" s="5"/>
      <c r="AG130" s="5"/>
      <c r="AH130" s="5" t="s">
        <v>534</v>
      </c>
    </row>
    <row r="131" spans="2:34" ht="22.95" customHeight="1" outlineLevel="3" x14ac:dyDescent="0.2">
      <c r="B131" s="74" t="s">
        <v>540</v>
      </c>
      <c r="C131" s="74"/>
      <c r="D131" s="74"/>
    </row>
    <row r="132" spans="2:34" ht="21" customHeight="1" outlineLevel="4" x14ac:dyDescent="0.2">
      <c r="B132" s="4">
        <v>81</v>
      </c>
      <c r="C132" s="5" t="s">
        <v>541</v>
      </c>
      <c r="D132" s="5" t="s">
        <v>542</v>
      </c>
      <c r="E132" s="6" t="s">
        <v>543</v>
      </c>
      <c r="F132" s="10"/>
      <c r="G132" s="11" t="s">
        <v>544</v>
      </c>
      <c r="H132" s="12">
        <v>50</v>
      </c>
      <c r="I132" s="13" t="s">
        <v>41</v>
      </c>
      <c r="J132" s="13"/>
      <c r="K132" s="13"/>
      <c r="L132" s="4">
        <v>8</v>
      </c>
      <c r="M132" s="14">
        <f>79.8*(1-P3/100)</f>
        <v>79.8</v>
      </c>
      <c r="N132" s="15"/>
      <c r="O132" s="13">
        <f>M132*N132</f>
        <v>0</v>
      </c>
      <c r="P132" s="13">
        <v>0</v>
      </c>
      <c r="Q132" s="13">
        <v>0</v>
      </c>
      <c r="R132" s="24"/>
      <c r="S132" s="25" t="s">
        <v>545</v>
      </c>
      <c r="T132" s="25" t="s">
        <v>43</v>
      </c>
      <c r="U132" s="5"/>
      <c r="V132" s="5" t="s">
        <v>546</v>
      </c>
      <c r="W132" s="5" t="s">
        <v>46</v>
      </c>
      <c r="X132" s="5"/>
      <c r="Y132" s="5"/>
      <c r="Z132" s="5" t="str">
        <f>HYPERLINK("https://knigipp.ru/api/getInfo/image/2fd61262-64be-11ec-a20f-ac1f6b442185")</f>
        <v>https://knigipp.ru/api/getInfo/image/2fd61262-64be-11ec-a20f-ac1f6b442185</v>
      </c>
      <c r="AA132" s="33">
        <v>16</v>
      </c>
      <c r="AB132" s="5"/>
      <c r="AC132" s="5" t="s">
        <v>96</v>
      </c>
      <c r="AD132" s="5"/>
      <c r="AE132" s="5" t="s">
        <v>49</v>
      </c>
      <c r="AF132" s="5"/>
      <c r="AG132" s="5"/>
      <c r="AH132" s="5" t="s">
        <v>238</v>
      </c>
    </row>
    <row r="133" spans="2:34" ht="21" customHeight="1" outlineLevel="4" x14ac:dyDescent="0.2">
      <c r="B133" s="4">
        <v>82</v>
      </c>
      <c r="C133" s="5" t="s">
        <v>547</v>
      </c>
      <c r="D133" s="5" t="s">
        <v>548</v>
      </c>
      <c r="E133" s="6" t="s">
        <v>549</v>
      </c>
      <c r="F133" s="10"/>
      <c r="G133" s="11" t="s">
        <v>544</v>
      </c>
      <c r="H133" s="12">
        <v>50</v>
      </c>
      <c r="I133" s="13" t="s">
        <v>261</v>
      </c>
      <c r="J133" s="13"/>
      <c r="K133" s="13"/>
      <c r="L133" s="4">
        <v>8</v>
      </c>
      <c r="M133" s="14">
        <f>79.8*(1-P3/100)</f>
        <v>79.8</v>
      </c>
      <c r="N133" s="15"/>
      <c r="O133" s="13">
        <f>M133*N133</f>
        <v>0</v>
      </c>
      <c r="P133" s="13">
        <v>0</v>
      </c>
      <c r="Q133" s="13">
        <v>0</v>
      </c>
      <c r="R133" s="24"/>
      <c r="S133" s="25" t="s">
        <v>550</v>
      </c>
      <c r="T133" s="25" t="s">
        <v>43</v>
      </c>
      <c r="U133" s="5"/>
      <c r="V133" s="5" t="s">
        <v>551</v>
      </c>
      <c r="W133" s="5" t="s">
        <v>46</v>
      </c>
      <c r="X133" s="5"/>
      <c r="Y133" s="5"/>
      <c r="Z133" s="5" t="str">
        <f>HYPERLINK("https://knigipp.ru/api/getInfo/image/edb66fef-64bd-11ec-a20f-ac1f6b442185")</f>
        <v>https://knigipp.ru/api/getInfo/image/edb66fef-64bd-11ec-a20f-ac1f6b442185</v>
      </c>
      <c r="AA133" s="33">
        <v>16</v>
      </c>
      <c r="AB133" s="5"/>
      <c r="AC133" s="5" t="s">
        <v>96</v>
      </c>
      <c r="AD133" s="5"/>
      <c r="AE133" s="5" t="s">
        <v>49</v>
      </c>
      <c r="AF133" s="5"/>
      <c r="AG133" s="5"/>
      <c r="AH133" s="5" t="s">
        <v>238</v>
      </c>
    </row>
    <row r="134" spans="2:34" ht="22.95" customHeight="1" outlineLevel="2" x14ac:dyDescent="0.2">
      <c r="B134" s="73" t="s">
        <v>552</v>
      </c>
      <c r="C134" s="73"/>
      <c r="D134" s="73"/>
    </row>
    <row r="135" spans="2:34" ht="21" customHeight="1" outlineLevel="3" x14ac:dyDescent="0.2">
      <c r="B135" s="4">
        <v>83</v>
      </c>
      <c r="C135" s="5" t="s">
        <v>553</v>
      </c>
      <c r="D135" s="5" t="s">
        <v>554</v>
      </c>
      <c r="E135" s="6" t="s">
        <v>555</v>
      </c>
      <c r="F135" s="10"/>
      <c r="G135" s="11" t="s">
        <v>556</v>
      </c>
      <c r="H135" s="12">
        <v>10</v>
      </c>
      <c r="I135" s="13" t="s">
        <v>41</v>
      </c>
      <c r="J135" s="13"/>
      <c r="K135" s="13"/>
      <c r="L135" s="4">
        <v>2</v>
      </c>
      <c r="M135" s="14">
        <f>577*(1-P3/100)</f>
        <v>577</v>
      </c>
      <c r="N135" s="15"/>
      <c r="O135" s="13">
        <f>M135*N135</f>
        <v>0</v>
      </c>
      <c r="P135" s="32">
        <f>0.23*N135</f>
        <v>0</v>
      </c>
      <c r="Q135" s="30">
        <f>0.0004*N135</f>
        <v>0</v>
      </c>
      <c r="R135" s="24"/>
      <c r="S135" s="25" t="s">
        <v>557</v>
      </c>
      <c r="T135" s="25" t="s">
        <v>43</v>
      </c>
      <c r="U135" s="5" t="s">
        <v>312</v>
      </c>
      <c r="V135" s="5" t="s">
        <v>558</v>
      </c>
      <c r="W135" s="5" t="s">
        <v>46</v>
      </c>
      <c r="X135" s="5"/>
      <c r="Y135" s="5"/>
      <c r="Z135" s="5" t="str">
        <f>HYPERLINK("https://knigipp.ru/api/getInfo/image/0a5d19cd-b1bc-11ec-a211-ac1f6b442185")</f>
        <v>https://knigipp.ru/api/getInfo/image/0a5d19cd-b1bc-11ec-a211-ac1f6b442185</v>
      </c>
      <c r="AA135" s="33">
        <v>48</v>
      </c>
      <c r="AB135" s="5"/>
      <c r="AC135" s="5" t="s">
        <v>86</v>
      </c>
      <c r="AD135" s="5"/>
      <c r="AE135" s="5" t="s">
        <v>49</v>
      </c>
      <c r="AF135" s="5"/>
      <c r="AG135" s="5"/>
      <c r="AH135" s="5" t="s">
        <v>559</v>
      </c>
    </row>
    <row r="136" spans="2:34" ht="21" customHeight="1" outlineLevel="3" x14ac:dyDescent="0.2">
      <c r="B136" s="7">
        <v>84</v>
      </c>
      <c r="C136" s="8" t="s">
        <v>560</v>
      </c>
      <c r="D136" s="8" t="s">
        <v>561</v>
      </c>
      <c r="E136" s="9" t="s">
        <v>562</v>
      </c>
      <c r="F136" s="16"/>
      <c r="G136" s="17" t="s">
        <v>563</v>
      </c>
      <c r="H136" s="18">
        <v>10</v>
      </c>
      <c r="I136" s="19" t="s">
        <v>41</v>
      </c>
      <c r="J136" s="19"/>
      <c r="K136" s="19"/>
      <c r="L136" s="7">
        <v>2</v>
      </c>
      <c r="M136" s="21">
        <f>577*(1-P3/100)</f>
        <v>577</v>
      </c>
      <c r="N136" s="15"/>
      <c r="O136" s="19">
        <f>M136*N136</f>
        <v>0</v>
      </c>
      <c r="P136" s="26">
        <f>0.263*N136</f>
        <v>0</v>
      </c>
      <c r="Q136" s="27">
        <f>0.00114*N136</f>
        <v>0</v>
      </c>
      <c r="R136" s="28" t="s">
        <v>81</v>
      </c>
      <c r="S136" s="29" t="s">
        <v>564</v>
      </c>
      <c r="T136" s="29" t="s">
        <v>43</v>
      </c>
      <c r="U136" s="8" t="s">
        <v>312</v>
      </c>
      <c r="V136" s="8" t="s">
        <v>565</v>
      </c>
      <c r="W136" s="8" t="s">
        <v>46</v>
      </c>
      <c r="X136" s="8"/>
      <c r="Y136" s="8"/>
      <c r="Z136" s="8" t="str">
        <f>HYPERLINK("https://knigipp.ru/api/getInfo/image/5cb5d482-e574-11f0-a28c-00155d82e908")</f>
        <v>https://knigipp.ru/api/getInfo/image/5cb5d482-e574-11f0-a28c-00155d82e908</v>
      </c>
      <c r="AA136" s="34">
        <v>48</v>
      </c>
      <c r="AB136" s="8"/>
      <c r="AC136" s="8" t="s">
        <v>86</v>
      </c>
      <c r="AD136" s="8"/>
      <c r="AE136" s="8" t="s">
        <v>49</v>
      </c>
      <c r="AF136" s="8"/>
      <c r="AG136" s="8"/>
      <c r="AH136" s="8" t="s">
        <v>566</v>
      </c>
    </row>
    <row r="137" spans="2:34" ht="21" customHeight="1" outlineLevel="3" x14ac:dyDescent="0.2">
      <c r="B137" s="4">
        <v>85</v>
      </c>
      <c r="C137" s="5" t="s">
        <v>567</v>
      </c>
      <c r="D137" s="5" t="s">
        <v>568</v>
      </c>
      <c r="E137" s="6" t="s">
        <v>569</v>
      </c>
      <c r="F137" s="10"/>
      <c r="G137" s="11" t="s">
        <v>570</v>
      </c>
      <c r="H137" s="12">
        <v>18</v>
      </c>
      <c r="I137" s="13" t="s">
        <v>261</v>
      </c>
      <c r="J137" s="13"/>
      <c r="K137" s="13"/>
      <c r="L137" s="4">
        <v>2</v>
      </c>
      <c r="M137" s="14">
        <f>577*(1-P3/100)</f>
        <v>577</v>
      </c>
      <c r="N137" s="15"/>
      <c r="O137" s="13">
        <f>M137*N137</f>
        <v>0</v>
      </c>
      <c r="P137" s="22">
        <f>0.317*N137</f>
        <v>0</v>
      </c>
      <c r="Q137" s="30">
        <f>0.0004*N137</f>
        <v>0</v>
      </c>
      <c r="R137" s="24"/>
      <c r="S137" s="25" t="s">
        <v>571</v>
      </c>
      <c r="T137" s="25" t="s">
        <v>43</v>
      </c>
      <c r="U137" s="5" t="s">
        <v>312</v>
      </c>
      <c r="V137" s="5" t="s">
        <v>572</v>
      </c>
      <c r="W137" s="5" t="s">
        <v>46</v>
      </c>
      <c r="X137" s="5" t="s">
        <v>573</v>
      </c>
      <c r="Y137" s="5"/>
      <c r="Z137" s="5" t="str">
        <f>HYPERLINK("https://knigipp.ru/api/getInfo/image/a9972307-3dcd-11ee-a241-00155d82e902")</f>
        <v>https://knigipp.ru/api/getInfo/image/a9972307-3dcd-11ee-a241-00155d82e902</v>
      </c>
      <c r="AA137" s="33">
        <v>48</v>
      </c>
      <c r="AB137" s="5" t="s">
        <v>574</v>
      </c>
      <c r="AC137" s="5" t="s">
        <v>86</v>
      </c>
      <c r="AD137" s="5"/>
      <c r="AE137" s="5" t="s">
        <v>49</v>
      </c>
      <c r="AF137" s="5"/>
      <c r="AG137" s="5"/>
      <c r="AH137" s="5" t="s">
        <v>575</v>
      </c>
    </row>
    <row r="138" spans="2:34" ht="22.95" customHeight="1" outlineLevel="2" x14ac:dyDescent="0.2">
      <c r="B138" s="73" t="s">
        <v>576</v>
      </c>
      <c r="C138" s="73"/>
      <c r="D138" s="73"/>
    </row>
    <row r="139" spans="2:34" ht="22.95" customHeight="1" outlineLevel="3" x14ac:dyDescent="0.2">
      <c r="B139" s="74" t="s">
        <v>577</v>
      </c>
      <c r="C139" s="74"/>
      <c r="D139" s="74"/>
    </row>
    <row r="140" spans="2:34" ht="21" customHeight="1" outlineLevel="4" x14ac:dyDescent="0.2">
      <c r="B140" s="7">
        <v>86</v>
      </c>
      <c r="C140" s="8" t="s">
        <v>578</v>
      </c>
      <c r="D140" s="8" t="s">
        <v>579</v>
      </c>
      <c r="E140" s="9" t="s">
        <v>580</v>
      </c>
      <c r="F140" s="16"/>
      <c r="G140" s="17" t="s">
        <v>581</v>
      </c>
      <c r="H140" s="18">
        <v>10</v>
      </c>
      <c r="I140" s="19" t="s">
        <v>41</v>
      </c>
      <c r="J140" s="19"/>
      <c r="K140" s="19"/>
      <c r="L140" s="7">
        <v>2</v>
      </c>
      <c r="M140" s="21">
        <f>977*(1-P3/100)</f>
        <v>977</v>
      </c>
      <c r="N140" s="15"/>
      <c r="O140" s="19">
        <f>M140*N140</f>
        <v>0</v>
      </c>
      <c r="P140" s="26">
        <f>0.544*N140</f>
        <v>0</v>
      </c>
      <c r="Q140" s="27">
        <f>0.00071*N140</f>
        <v>0</v>
      </c>
      <c r="R140" s="28" t="s">
        <v>81</v>
      </c>
      <c r="S140" s="29" t="s">
        <v>582</v>
      </c>
      <c r="T140" s="29" t="s">
        <v>43</v>
      </c>
      <c r="U140" s="8" t="s">
        <v>312</v>
      </c>
      <c r="V140" s="8" t="s">
        <v>583</v>
      </c>
      <c r="W140" s="8" t="s">
        <v>46</v>
      </c>
      <c r="X140" s="8"/>
      <c r="Y140" s="8"/>
      <c r="Z140" s="8" t="str">
        <f>HYPERLINK("https://knigipp.ru/api/getInfo/image/8f054ff9-b668-11f0-a286-00155d82e908")</f>
        <v>https://knigipp.ru/api/getInfo/image/8f054ff9-b668-11f0-a286-00155d82e908</v>
      </c>
      <c r="AA140" s="34">
        <v>160</v>
      </c>
      <c r="AB140" s="8" t="s">
        <v>47</v>
      </c>
      <c r="AC140" s="8" t="s">
        <v>86</v>
      </c>
      <c r="AD140" s="8"/>
      <c r="AE140" s="8" t="s">
        <v>49</v>
      </c>
      <c r="AF140" s="8"/>
      <c r="AG140" s="8"/>
      <c r="AH140" s="8" t="s">
        <v>584</v>
      </c>
    </row>
    <row r="141" spans="2:34" ht="21" customHeight="1" outlineLevel="4" x14ac:dyDescent="0.2">
      <c r="B141" s="4">
        <v>87</v>
      </c>
      <c r="C141" s="5" t="s">
        <v>585</v>
      </c>
      <c r="D141" s="5" t="s">
        <v>586</v>
      </c>
      <c r="E141" s="6" t="s">
        <v>587</v>
      </c>
      <c r="F141" s="10"/>
      <c r="G141" s="11" t="s">
        <v>588</v>
      </c>
      <c r="H141" s="12">
        <v>10</v>
      </c>
      <c r="I141" s="13" t="s">
        <v>41</v>
      </c>
      <c r="J141" s="13"/>
      <c r="K141" s="13"/>
      <c r="L141" s="4">
        <v>2</v>
      </c>
      <c r="M141" s="14">
        <f>399*(1-P3/100)</f>
        <v>399</v>
      </c>
      <c r="N141" s="15"/>
      <c r="O141" s="13">
        <f>M141*N141</f>
        <v>0</v>
      </c>
      <c r="P141" s="22">
        <f>0.335*N141</f>
        <v>0</v>
      </c>
      <c r="Q141" s="23">
        <f>0.00059*N141</f>
        <v>0</v>
      </c>
      <c r="R141" s="24"/>
      <c r="S141" s="25" t="s">
        <v>589</v>
      </c>
      <c r="T141" s="25" t="s">
        <v>43</v>
      </c>
      <c r="U141" s="5" t="s">
        <v>312</v>
      </c>
      <c r="V141" s="5" t="s">
        <v>590</v>
      </c>
      <c r="W141" s="5" t="s">
        <v>46</v>
      </c>
      <c r="X141" s="5"/>
      <c r="Y141" s="5"/>
      <c r="Z141" s="5" t="str">
        <f>HYPERLINK("https://knigipp.ru/api/getInfo/image/9005c00a-0b06-11ec-a20e-ac1f6b442185")</f>
        <v>https://knigipp.ru/api/getInfo/image/9005c00a-0b06-11ec-a20e-ac1f6b442185</v>
      </c>
      <c r="AA141" s="33">
        <v>48</v>
      </c>
      <c r="AB141" s="5"/>
      <c r="AC141" s="5" t="s">
        <v>86</v>
      </c>
      <c r="AD141" s="5"/>
      <c r="AE141" s="5" t="s">
        <v>49</v>
      </c>
      <c r="AF141" s="5"/>
      <c r="AG141" s="5"/>
      <c r="AH141" s="5" t="s">
        <v>591</v>
      </c>
    </row>
    <row r="142" spans="2:34" ht="21" customHeight="1" outlineLevel="4" x14ac:dyDescent="0.2">
      <c r="B142" s="4">
        <v>88</v>
      </c>
      <c r="C142" s="5" t="s">
        <v>592</v>
      </c>
      <c r="D142" s="5" t="s">
        <v>593</v>
      </c>
      <c r="E142" s="6" t="s">
        <v>594</v>
      </c>
      <c r="F142" s="10"/>
      <c r="G142" s="11" t="s">
        <v>595</v>
      </c>
      <c r="H142" s="12">
        <v>10</v>
      </c>
      <c r="I142" s="13" t="s">
        <v>41</v>
      </c>
      <c r="J142" s="13"/>
      <c r="K142" s="13"/>
      <c r="L142" s="4">
        <v>2</v>
      </c>
      <c r="M142" s="14">
        <f>399*(1-P3/100)</f>
        <v>399</v>
      </c>
      <c r="N142" s="15"/>
      <c r="O142" s="13">
        <f>M142*N142</f>
        <v>0</v>
      </c>
      <c r="P142" s="22">
        <f>0.348*N142</f>
        <v>0</v>
      </c>
      <c r="Q142" s="23">
        <f>0.00048*N142</f>
        <v>0</v>
      </c>
      <c r="R142" s="24"/>
      <c r="S142" s="25" t="s">
        <v>596</v>
      </c>
      <c r="T142" s="25" t="s">
        <v>43</v>
      </c>
      <c r="U142" s="5" t="s">
        <v>312</v>
      </c>
      <c r="V142" s="5" t="s">
        <v>597</v>
      </c>
      <c r="W142" s="5" t="s">
        <v>46</v>
      </c>
      <c r="X142" s="5"/>
      <c r="Y142" s="5"/>
      <c r="Z142" s="5" t="str">
        <f>HYPERLINK("https://knigipp.ru/api/getInfo/image/bce13d03-e5e6-11ee-a25a-00155d82e908")</f>
        <v>https://knigipp.ru/api/getInfo/image/bce13d03-e5e6-11ee-a25a-00155d82e908</v>
      </c>
      <c r="AA142" s="33">
        <v>48</v>
      </c>
      <c r="AB142" s="5" t="s">
        <v>598</v>
      </c>
      <c r="AC142" s="5" t="s">
        <v>86</v>
      </c>
      <c r="AD142" s="5"/>
      <c r="AE142" s="5" t="s">
        <v>49</v>
      </c>
      <c r="AF142" s="5"/>
      <c r="AG142" s="5"/>
      <c r="AH142" s="5" t="s">
        <v>591</v>
      </c>
    </row>
    <row r="143" spans="2:34" ht="21" customHeight="1" outlineLevel="4" x14ac:dyDescent="0.2">
      <c r="B143" s="4">
        <v>89</v>
      </c>
      <c r="C143" s="5" t="s">
        <v>599</v>
      </c>
      <c r="D143" s="5" t="s">
        <v>600</v>
      </c>
      <c r="E143" s="6" t="s">
        <v>601</v>
      </c>
      <c r="F143" s="10"/>
      <c r="G143" s="11" t="s">
        <v>602</v>
      </c>
      <c r="H143" s="12">
        <v>10</v>
      </c>
      <c r="I143" s="13" t="s">
        <v>41</v>
      </c>
      <c r="J143" s="13"/>
      <c r="K143" s="13"/>
      <c r="L143" s="4">
        <v>2</v>
      </c>
      <c r="M143" s="14">
        <f>399*(1-P3/100)</f>
        <v>399</v>
      </c>
      <c r="N143" s="15"/>
      <c r="O143" s="13">
        <f>M143*N143</f>
        <v>0</v>
      </c>
      <c r="P143" s="32">
        <f>0.35*N143</f>
        <v>0</v>
      </c>
      <c r="Q143" s="30">
        <f>0.0004*N143</f>
        <v>0</v>
      </c>
      <c r="R143" s="24"/>
      <c r="S143" s="25" t="s">
        <v>603</v>
      </c>
      <c r="T143" s="25" t="s">
        <v>43</v>
      </c>
      <c r="U143" s="5" t="s">
        <v>312</v>
      </c>
      <c r="V143" s="5" t="s">
        <v>604</v>
      </c>
      <c r="W143" s="5" t="s">
        <v>46</v>
      </c>
      <c r="X143" s="5"/>
      <c r="Y143" s="5"/>
      <c r="Z143" s="5" t="str">
        <f>HYPERLINK("https://knigipp.ru/api/getInfo/image/b2218d36-a390-11ed-a22f-00155d82e902")</f>
        <v>https://knigipp.ru/api/getInfo/image/b2218d36-a390-11ed-a22f-00155d82e902</v>
      </c>
      <c r="AA143" s="33">
        <v>48</v>
      </c>
      <c r="AB143" s="5" t="s">
        <v>598</v>
      </c>
      <c r="AC143" s="5" t="s">
        <v>86</v>
      </c>
      <c r="AD143" s="5"/>
      <c r="AE143" s="5" t="s">
        <v>49</v>
      </c>
      <c r="AF143" s="5"/>
      <c r="AG143" s="5"/>
      <c r="AH143" s="5" t="s">
        <v>591</v>
      </c>
    </row>
    <row r="144" spans="2:34" ht="22.95" customHeight="1" outlineLevel="1" x14ac:dyDescent="0.2">
      <c r="B144" s="72" t="s">
        <v>605</v>
      </c>
      <c r="C144" s="72"/>
      <c r="D144" s="72"/>
    </row>
    <row r="145" spans="2:34" ht="22.95" customHeight="1" outlineLevel="2" x14ac:dyDescent="0.2">
      <c r="B145" s="73" t="s">
        <v>606</v>
      </c>
      <c r="C145" s="73"/>
      <c r="D145" s="73"/>
    </row>
    <row r="146" spans="2:34" ht="21" customHeight="1" outlineLevel="3" x14ac:dyDescent="0.2">
      <c r="B146" s="4">
        <v>90</v>
      </c>
      <c r="C146" s="5" t="s">
        <v>607</v>
      </c>
      <c r="D146" s="5" t="s">
        <v>608</v>
      </c>
      <c r="E146" s="6" t="s">
        <v>609</v>
      </c>
      <c r="F146" s="10"/>
      <c r="G146" s="11" t="s">
        <v>610</v>
      </c>
      <c r="H146" s="12">
        <v>10</v>
      </c>
      <c r="I146" s="13" t="s">
        <v>261</v>
      </c>
      <c r="J146" s="13"/>
      <c r="K146" s="13"/>
      <c r="L146" s="4">
        <v>1</v>
      </c>
      <c r="M146" s="14">
        <f>829*(1-P3/100)</f>
        <v>829</v>
      </c>
      <c r="N146" s="15"/>
      <c r="O146" s="13">
        <f t="shared" ref="O146:O151" si="4">M146*N146</f>
        <v>0</v>
      </c>
      <c r="P146" s="13">
        <v>0</v>
      </c>
      <c r="Q146" s="13">
        <v>0</v>
      </c>
      <c r="R146" s="24"/>
      <c r="S146" s="25" t="s">
        <v>611</v>
      </c>
      <c r="T146" s="25" t="s">
        <v>43</v>
      </c>
      <c r="U146" s="5" t="s">
        <v>612</v>
      </c>
      <c r="V146" s="5"/>
      <c r="W146" s="5" t="s">
        <v>46</v>
      </c>
      <c r="X146" s="5"/>
      <c r="Y146" s="5"/>
      <c r="Z146" s="5" t="str">
        <f>HYPERLINK("https://knigipp.ru/api/getInfo/image/f54385ec-529d-11ec-a20f-ac1f6b442185")</f>
        <v>https://knigipp.ru/api/getInfo/image/f54385ec-529d-11ec-a20f-ac1f6b442185</v>
      </c>
      <c r="AA146" s="33">
        <v>48</v>
      </c>
      <c r="AB146" s="5"/>
      <c r="AC146" s="5" t="s">
        <v>86</v>
      </c>
      <c r="AD146" s="5"/>
      <c r="AE146" s="5" t="s">
        <v>49</v>
      </c>
      <c r="AF146" s="5"/>
      <c r="AG146" s="5"/>
      <c r="AH146" s="5" t="s">
        <v>613</v>
      </c>
    </row>
    <row r="147" spans="2:34" ht="21" customHeight="1" outlineLevel="3" x14ac:dyDescent="0.2">
      <c r="B147" s="4">
        <v>91</v>
      </c>
      <c r="C147" s="5" t="s">
        <v>614</v>
      </c>
      <c r="D147" s="5" t="s">
        <v>615</v>
      </c>
      <c r="E147" s="6" t="s">
        <v>616</v>
      </c>
      <c r="F147" s="10"/>
      <c r="G147" s="11" t="s">
        <v>617</v>
      </c>
      <c r="H147" s="12">
        <v>20</v>
      </c>
      <c r="I147" s="13" t="s">
        <v>371</v>
      </c>
      <c r="J147" s="13"/>
      <c r="K147" s="13"/>
      <c r="L147" s="4">
        <v>1</v>
      </c>
      <c r="M147" s="14">
        <f>399*(1-P3/100)</f>
        <v>399</v>
      </c>
      <c r="N147" s="15"/>
      <c r="O147" s="13">
        <f t="shared" si="4"/>
        <v>0</v>
      </c>
      <c r="P147" s="32">
        <f>0.39*N147</f>
        <v>0</v>
      </c>
      <c r="Q147" s="23">
        <f>0.00024*N147</f>
        <v>0</v>
      </c>
      <c r="R147" s="24"/>
      <c r="S147" s="25" t="s">
        <v>618</v>
      </c>
      <c r="T147" s="25" t="s">
        <v>43</v>
      </c>
      <c r="U147" s="5" t="s">
        <v>157</v>
      </c>
      <c r="V147" s="5" t="s">
        <v>619</v>
      </c>
      <c r="W147" s="5" t="s">
        <v>46</v>
      </c>
      <c r="X147" s="5"/>
      <c r="Y147" s="5"/>
      <c r="Z147" s="5" t="str">
        <f>HYPERLINK("https://knigipp.ru/api/getInfo/image/f43f0b1f-257e-11ea-a239-ac1f6b442184")</f>
        <v>https://knigipp.ru/api/getInfo/image/f43f0b1f-257e-11ea-a239-ac1f6b442184</v>
      </c>
      <c r="AA147" s="33">
        <v>24</v>
      </c>
      <c r="AB147" s="5"/>
      <c r="AC147" s="5" t="s">
        <v>86</v>
      </c>
      <c r="AD147" s="5"/>
      <c r="AE147" s="5" t="s">
        <v>49</v>
      </c>
      <c r="AF147" s="5"/>
      <c r="AG147" s="5"/>
      <c r="AH147" s="5" t="s">
        <v>521</v>
      </c>
    </row>
    <row r="148" spans="2:34" ht="21" customHeight="1" outlineLevel="3" x14ac:dyDescent="0.2">
      <c r="B148" s="4">
        <v>92</v>
      </c>
      <c r="C148" s="5" t="s">
        <v>620</v>
      </c>
      <c r="D148" s="5" t="s">
        <v>621</v>
      </c>
      <c r="E148" s="6" t="s">
        <v>622</v>
      </c>
      <c r="F148" s="10"/>
      <c r="G148" s="11" t="s">
        <v>617</v>
      </c>
      <c r="H148" s="12">
        <v>20</v>
      </c>
      <c r="I148" s="13" t="s">
        <v>371</v>
      </c>
      <c r="J148" s="13"/>
      <c r="K148" s="13"/>
      <c r="L148" s="4">
        <v>1</v>
      </c>
      <c r="M148" s="14">
        <f>399*(1-P3/100)</f>
        <v>399</v>
      </c>
      <c r="N148" s="15"/>
      <c r="O148" s="13">
        <f t="shared" si="4"/>
        <v>0</v>
      </c>
      <c r="P148" s="32">
        <f>0.39*N148</f>
        <v>0</v>
      </c>
      <c r="Q148" s="23">
        <f>0.00024*N148</f>
        <v>0</v>
      </c>
      <c r="R148" s="24"/>
      <c r="S148" s="25" t="s">
        <v>623</v>
      </c>
      <c r="T148" s="25" t="s">
        <v>43</v>
      </c>
      <c r="U148" s="5" t="s">
        <v>157</v>
      </c>
      <c r="V148" s="5" t="s">
        <v>624</v>
      </c>
      <c r="W148" s="5" t="s">
        <v>46</v>
      </c>
      <c r="X148" s="5"/>
      <c r="Y148" s="5"/>
      <c r="Z148" s="5" t="str">
        <f>HYPERLINK("https://knigipp.ru/api/getInfo/image/da212aa1-257e-11ea-a239-ac1f6b442184")</f>
        <v>https://knigipp.ru/api/getInfo/image/da212aa1-257e-11ea-a239-ac1f6b442184</v>
      </c>
      <c r="AA148" s="33">
        <v>24</v>
      </c>
      <c r="AB148" s="5"/>
      <c r="AC148" s="5" t="s">
        <v>86</v>
      </c>
      <c r="AD148" s="5"/>
      <c r="AE148" s="5" t="s">
        <v>49</v>
      </c>
      <c r="AF148" s="5"/>
      <c r="AG148" s="5"/>
      <c r="AH148" s="5" t="s">
        <v>521</v>
      </c>
    </row>
    <row r="149" spans="2:34" ht="21" customHeight="1" outlineLevel="3" x14ac:dyDescent="0.2">
      <c r="B149" s="4">
        <v>93</v>
      </c>
      <c r="C149" s="5" t="s">
        <v>625</v>
      </c>
      <c r="D149" s="5" t="s">
        <v>626</v>
      </c>
      <c r="E149" s="6" t="s">
        <v>627</v>
      </c>
      <c r="F149" s="10"/>
      <c r="G149" s="11" t="s">
        <v>628</v>
      </c>
      <c r="H149" s="12">
        <v>10</v>
      </c>
      <c r="I149" s="13" t="s">
        <v>261</v>
      </c>
      <c r="J149" s="13"/>
      <c r="K149" s="13"/>
      <c r="L149" s="4">
        <v>1</v>
      </c>
      <c r="M149" s="14">
        <f>496.6*(1-P3/100)</f>
        <v>496.6</v>
      </c>
      <c r="N149" s="15"/>
      <c r="O149" s="13">
        <f t="shared" si="4"/>
        <v>0</v>
      </c>
      <c r="P149" s="13">
        <v>0</v>
      </c>
      <c r="Q149" s="13">
        <v>0</v>
      </c>
      <c r="R149" s="24"/>
      <c r="S149" s="25" t="s">
        <v>629</v>
      </c>
      <c r="T149" s="25" t="s">
        <v>43</v>
      </c>
      <c r="U149" s="5" t="s">
        <v>630</v>
      </c>
      <c r="V149" s="5"/>
      <c r="W149" s="5" t="s">
        <v>46</v>
      </c>
      <c r="X149" s="5"/>
      <c r="Y149" s="5"/>
      <c r="Z149" s="5" t="str">
        <f>HYPERLINK("https://knigipp.ru/api/getInfo/image/bc9e7355-0a69-11ec-a20e-ac1f6b442185")</f>
        <v>https://knigipp.ru/api/getInfo/image/bc9e7355-0a69-11ec-a20e-ac1f6b442185</v>
      </c>
      <c r="AA149" s="33">
        <v>32</v>
      </c>
      <c r="AB149" s="5"/>
      <c r="AC149" s="5" t="s">
        <v>86</v>
      </c>
      <c r="AD149" s="5"/>
      <c r="AE149" s="5" t="s">
        <v>49</v>
      </c>
      <c r="AF149" s="5"/>
      <c r="AG149" s="5"/>
      <c r="AH149" s="5" t="s">
        <v>631</v>
      </c>
    </row>
    <row r="150" spans="2:34" ht="21" customHeight="1" outlineLevel="3" x14ac:dyDescent="0.2">
      <c r="B150" s="4">
        <v>94</v>
      </c>
      <c r="C150" s="5" t="s">
        <v>632</v>
      </c>
      <c r="D150" s="5" t="s">
        <v>633</v>
      </c>
      <c r="E150" s="6" t="s">
        <v>634</v>
      </c>
      <c r="F150" s="10"/>
      <c r="G150" s="11" t="s">
        <v>617</v>
      </c>
      <c r="H150" s="12">
        <v>10</v>
      </c>
      <c r="I150" s="13" t="s">
        <v>261</v>
      </c>
      <c r="J150" s="13"/>
      <c r="K150" s="13"/>
      <c r="L150" s="4">
        <v>1</v>
      </c>
      <c r="M150" s="14">
        <f>564*(1-P3/100)</f>
        <v>564</v>
      </c>
      <c r="N150" s="15"/>
      <c r="O150" s="13">
        <f t="shared" si="4"/>
        <v>0</v>
      </c>
      <c r="P150" s="22">
        <f>0.372*N150</f>
        <v>0</v>
      </c>
      <c r="Q150" s="23">
        <f>0.00065*N150</f>
        <v>0</v>
      </c>
      <c r="R150" s="24"/>
      <c r="S150" s="25" t="s">
        <v>635</v>
      </c>
      <c r="T150" s="25" t="s">
        <v>43</v>
      </c>
      <c r="U150" s="5" t="s">
        <v>513</v>
      </c>
      <c r="V150" s="5"/>
      <c r="W150" s="5" t="s">
        <v>46</v>
      </c>
      <c r="X150" s="5"/>
      <c r="Y150" s="5"/>
      <c r="Z150" s="5" t="str">
        <f>HYPERLINK("https://knigipp.ru/api/getInfo/image/29ff014d-257e-11ea-a239-ac1f6b442184")</f>
        <v>https://knigipp.ru/api/getInfo/image/29ff014d-257e-11ea-a239-ac1f6b442184</v>
      </c>
      <c r="AA150" s="33">
        <v>24</v>
      </c>
      <c r="AB150" s="5"/>
      <c r="AC150" s="5" t="s">
        <v>86</v>
      </c>
      <c r="AD150" s="5"/>
      <c r="AE150" s="5" t="s">
        <v>49</v>
      </c>
      <c r="AF150" s="5"/>
      <c r="AG150" s="5"/>
      <c r="AH150" s="5" t="s">
        <v>507</v>
      </c>
    </row>
    <row r="151" spans="2:34" ht="21" customHeight="1" outlineLevel="3" x14ac:dyDescent="0.2">
      <c r="B151" s="4">
        <v>95</v>
      </c>
      <c r="C151" s="5" t="s">
        <v>636</v>
      </c>
      <c r="D151" s="5" t="s">
        <v>637</v>
      </c>
      <c r="E151" s="6" t="s">
        <v>638</v>
      </c>
      <c r="F151" s="10"/>
      <c r="G151" s="11" t="s">
        <v>639</v>
      </c>
      <c r="H151" s="12">
        <v>10</v>
      </c>
      <c r="I151" s="13" t="s">
        <v>261</v>
      </c>
      <c r="J151" s="13"/>
      <c r="K151" s="13"/>
      <c r="L151" s="4">
        <v>1</v>
      </c>
      <c r="M151" s="14">
        <f>699*(1-P3/100)</f>
        <v>699</v>
      </c>
      <c r="N151" s="15"/>
      <c r="O151" s="13">
        <f t="shared" si="4"/>
        <v>0</v>
      </c>
      <c r="P151" s="13">
        <v>0</v>
      </c>
      <c r="Q151" s="13">
        <v>0</v>
      </c>
      <c r="R151" s="24"/>
      <c r="S151" s="25" t="s">
        <v>640</v>
      </c>
      <c r="T151" s="25" t="s">
        <v>43</v>
      </c>
      <c r="U151" s="5" t="s">
        <v>312</v>
      </c>
      <c r="V151" s="5" t="s">
        <v>641</v>
      </c>
      <c r="W151" s="5" t="s">
        <v>46</v>
      </c>
      <c r="X151" s="5"/>
      <c r="Y151" s="5"/>
      <c r="Z151" s="5" t="str">
        <f>HYPERLINK("https://knigipp.ru/api/getInfo/image/2260a33c-529e-11ec-a20f-ac1f6b442185")</f>
        <v>https://knigipp.ru/api/getInfo/image/2260a33c-529e-11ec-a20f-ac1f6b442185</v>
      </c>
      <c r="AA151" s="33">
        <v>48</v>
      </c>
      <c r="AB151" s="5"/>
      <c r="AC151" s="5" t="s">
        <v>86</v>
      </c>
      <c r="AD151" s="5"/>
      <c r="AE151" s="5" t="s">
        <v>49</v>
      </c>
      <c r="AF151" s="5"/>
      <c r="AG151" s="5"/>
      <c r="AH151" s="5" t="s">
        <v>642</v>
      </c>
    </row>
    <row r="152" spans="2:34" ht="22.95" customHeight="1" outlineLevel="2" x14ac:dyDescent="0.2">
      <c r="B152" s="73" t="s">
        <v>643</v>
      </c>
      <c r="C152" s="73"/>
      <c r="D152" s="73"/>
    </row>
    <row r="153" spans="2:34" ht="21" customHeight="1" outlineLevel="3" x14ac:dyDescent="0.2">
      <c r="B153" s="4">
        <v>96</v>
      </c>
      <c r="C153" s="5" t="s">
        <v>644</v>
      </c>
      <c r="D153" s="5" t="s">
        <v>645</v>
      </c>
      <c r="E153" s="6" t="s">
        <v>646</v>
      </c>
      <c r="F153" s="10"/>
      <c r="G153" s="11" t="s">
        <v>647</v>
      </c>
      <c r="H153" s="12">
        <v>10</v>
      </c>
      <c r="I153" s="13" t="s">
        <v>371</v>
      </c>
      <c r="J153" s="13"/>
      <c r="K153" s="13"/>
      <c r="L153" s="4">
        <v>2</v>
      </c>
      <c r="M153" s="14">
        <f>299*(1-P3/100)</f>
        <v>299</v>
      </c>
      <c r="N153" s="15"/>
      <c r="O153" s="13">
        <f>M153*N153</f>
        <v>0</v>
      </c>
      <c r="P153" s="22">
        <f>0.268*N153</f>
        <v>0</v>
      </c>
      <c r="Q153" s="23">
        <f>0.00032*N153</f>
        <v>0</v>
      </c>
      <c r="R153" s="24"/>
      <c r="S153" s="25" t="s">
        <v>648</v>
      </c>
      <c r="T153" s="25" t="s">
        <v>43</v>
      </c>
      <c r="U153" s="5" t="s">
        <v>649</v>
      </c>
      <c r="V153" s="5"/>
      <c r="W153" s="5" t="s">
        <v>46</v>
      </c>
      <c r="X153" s="5"/>
      <c r="Y153" s="5"/>
      <c r="Z153" s="5" t="str">
        <f>HYPERLINK("https://knigipp.ru/api/getInfo/image/d2581299-6023-11ed-a229-00155d82e902")</f>
        <v>https://knigipp.ru/api/getInfo/image/d2581299-6023-11ed-a229-00155d82e902</v>
      </c>
      <c r="AA153" s="33">
        <v>32</v>
      </c>
      <c r="AB153" s="5" t="s">
        <v>47</v>
      </c>
      <c r="AC153" s="5" t="s">
        <v>86</v>
      </c>
      <c r="AD153" s="5"/>
      <c r="AE153" s="5" t="s">
        <v>49</v>
      </c>
      <c r="AF153" s="5"/>
      <c r="AG153" s="5"/>
      <c r="AH153" s="5" t="s">
        <v>650</v>
      </c>
    </row>
    <row r="154" spans="2:34" ht="22.95" customHeight="1" outlineLevel="2" x14ac:dyDescent="0.2">
      <c r="B154" s="73" t="s">
        <v>651</v>
      </c>
      <c r="C154" s="73"/>
      <c r="D154" s="73"/>
    </row>
    <row r="155" spans="2:34" ht="21" customHeight="1" outlineLevel="3" x14ac:dyDescent="0.2">
      <c r="B155" s="4">
        <v>97</v>
      </c>
      <c r="C155" s="5" t="s">
        <v>652</v>
      </c>
      <c r="D155" s="5" t="s">
        <v>653</v>
      </c>
      <c r="E155" s="6" t="s">
        <v>654</v>
      </c>
      <c r="F155" s="10"/>
      <c r="G155" s="11" t="s">
        <v>655</v>
      </c>
      <c r="H155" s="12">
        <v>10</v>
      </c>
      <c r="I155" s="13" t="s">
        <v>371</v>
      </c>
      <c r="J155" s="13"/>
      <c r="K155" s="13"/>
      <c r="L155" s="4">
        <v>1</v>
      </c>
      <c r="M155" s="14">
        <f>497*(1-P3/100)</f>
        <v>497</v>
      </c>
      <c r="N155" s="15"/>
      <c r="O155" s="13">
        <f>M155*N155</f>
        <v>0</v>
      </c>
      <c r="P155" s="13">
        <v>0</v>
      </c>
      <c r="Q155" s="13">
        <v>0</v>
      </c>
      <c r="R155" s="24"/>
      <c r="S155" s="25" t="s">
        <v>656</v>
      </c>
      <c r="T155" s="25" t="s">
        <v>43</v>
      </c>
      <c r="U155" s="5" t="s">
        <v>657</v>
      </c>
      <c r="V155" s="5" t="s">
        <v>658</v>
      </c>
      <c r="W155" s="5" t="s">
        <v>46</v>
      </c>
      <c r="X155" s="5"/>
      <c r="Y155" s="5"/>
      <c r="Z155" s="5" t="str">
        <f>HYPERLINK("https://knigipp.ru/api/getInfo/image/1090c79d-a3ec-11ee-a258-00155d82e908")</f>
        <v>https://knigipp.ru/api/getInfo/image/1090c79d-a3ec-11ee-a258-00155d82e908</v>
      </c>
      <c r="AA155" s="33">
        <v>32</v>
      </c>
      <c r="AB155" s="5" t="s">
        <v>47</v>
      </c>
      <c r="AC155" s="5" t="s">
        <v>86</v>
      </c>
      <c r="AD155" s="5"/>
      <c r="AE155" s="5" t="s">
        <v>49</v>
      </c>
      <c r="AF155" s="5"/>
      <c r="AG155" s="5"/>
      <c r="AH155" s="5" t="s">
        <v>507</v>
      </c>
    </row>
    <row r="156" spans="2:34" ht="21" customHeight="1" outlineLevel="3" x14ac:dyDescent="0.2">
      <c r="B156" s="4">
        <v>98</v>
      </c>
      <c r="C156" s="5" t="s">
        <v>659</v>
      </c>
      <c r="D156" s="5" t="s">
        <v>660</v>
      </c>
      <c r="E156" s="6" t="s">
        <v>661</v>
      </c>
      <c r="F156" s="10"/>
      <c r="G156" s="11" t="s">
        <v>662</v>
      </c>
      <c r="H156" s="12">
        <v>10</v>
      </c>
      <c r="I156" s="13" t="s">
        <v>371</v>
      </c>
      <c r="J156" s="13"/>
      <c r="K156" s="13"/>
      <c r="L156" s="4">
        <v>1</v>
      </c>
      <c r="M156" s="14">
        <f>497*(1-P3/100)</f>
        <v>497</v>
      </c>
      <c r="N156" s="15"/>
      <c r="O156" s="13">
        <f>M156*N156</f>
        <v>0</v>
      </c>
      <c r="P156" s="13">
        <v>0</v>
      </c>
      <c r="Q156" s="13">
        <v>0</v>
      </c>
      <c r="R156" s="24"/>
      <c r="S156" s="25" t="s">
        <v>663</v>
      </c>
      <c r="T156" s="25" t="s">
        <v>43</v>
      </c>
      <c r="U156" s="5" t="s">
        <v>312</v>
      </c>
      <c r="V156" s="5" t="s">
        <v>664</v>
      </c>
      <c r="W156" s="5" t="s">
        <v>46</v>
      </c>
      <c r="X156" s="5"/>
      <c r="Y156" s="5"/>
      <c r="Z156" s="5" t="str">
        <f>HYPERLINK("https://knigipp.ru/api/getInfo/image/36a5c6f5-a3ec-11ee-a258-00155d82e908")</f>
        <v>https://knigipp.ru/api/getInfo/image/36a5c6f5-a3ec-11ee-a258-00155d82e908</v>
      </c>
      <c r="AA156" s="33">
        <v>32</v>
      </c>
      <c r="AB156" s="5" t="s">
        <v>47</v>
      </c>
      <c r="AC156" s="5" t="s">
        <v>86</v>
      </c>
      <c r="AD156" s="5"/>
      <c r="AE156" s="5" t="s">
        <v>49</v>
      </c>
      <c r="AF156" s="5"/>
      <c r="AG156" s="5"/>
      <c r="AH156" s="5" t="s">
        <v>507</v>
      </c>
    </row>
    <row r="157" spans="2:34" ht="21" customHeight="1" outlineLevel="3" x14ac:dyDescent="0.2">
      <c r="B157" s="4">
        <v>99</v>
      </c>
      <c r="C157" s="5" t="s">
        <v>665</v>
      </c>
      <c r="D157" s="5" t="s">
        <v>666</v>
      </c>
      <c r="E157" s="6" t="s">
        <v>667</v>
      </c>
      <c r="F157" s="10"/>
      <c r="G157" s="11" t="s">
        <v>668</v>
      </c>
      <c r="H157" s="12">
        <v>10</v>
      </c>
      <c r="I157" s="13" t="s">
        <v>41</v>
      </c>
      <c r="J157" s="13"/>
      <c r="K157" s="13"/>
      <c r="L157" s="4">
        <v>1</v>
      </c>
      <c r="M157" s="14">
        <f>497*(1-P3/100)</f>
        <v>497</v>
      </c>
      <c r="N157" s="15"/>
      <c r="O157" s="13">
        <f>M157*N157</f>
        <v>0</v>
      </c>
      <c r="P157" s="13">
        <v>0</v>
      </c>
      <c r="Q157" s="13">
        <v>0</v>
      </c>
      <c r="R157" s="24"/>
      <c r="S157" s="25" t="s">
        <v>669</v>
      </c>
      <c r="T157" s="25" t="s">
        <v>43</v>
      </c>
      <c r="U157" s="5" t="s">
        <v>513</v>
      </c>
      <c r="V157" s="5" t="s">
        <v>670</v>
      </c>
      <c r="W157" s="5" t="s">
        <v>46</v>
      </c>
      <c r="X157" s="5"/>
      <c r="Y157" s="5"/>
      <c r="Z157" s="5" t="str">
        <f>HYPERLINK("https://knigipp.ru/api/getInfo/image/8fde6c15-a3ec-11ee-a258-00155d82e908")</f>
        <v>https://knigipp.ru/api/getInfo/image/8fde6c15-a3ec-11ee-a258-00155d82e908</v>
      </c>
      <c r="AA157" s="33">
        <v>32</v>
      </c>
      <c r="AB157" s="5" t="s">
        <v>47</v>
      </c>
      <c r="AC157" s="5" t="s">
        <v>86</v>
      </c>
      <c r="AD157" s="5"/>
      <c r="AE157" s="5" t="s">
        <v>49</v>
      </c>
      <c r="AF157" s="5"/>
      <c r="AG157" s="5"/>
      <c r="AH157" s="5" t="s">
        <v>507</v>
      </c>
    </row>
    <row r="158" spans="2:34" ht="21" customHeight="1" outlineLevel="3" x14ac:dyDescent="0.2">
      <c r="B158" s="4">
        <v>100</v>
      </c>
      <c r="C158" s="5" t="s">
        <v>671</v>
      </c>
      <c r="D158" s="5" t="s">
        <v>672</v>
      </c>
      <c r="E158" s="6" t="s">
        <v>673</v>
      </c>
      <c r="F158" s="10"/>
      <c r="G158" s="11" t="s">
        <v>674</v>
      </c>
      <c r="H158" s="12">
        <v>10</v>
      </c>
      <c r="I158" s="13" t="s">
        <v>41</v>
      </c>
      <c r="J158" s="13"/>
      <c r="K158" s="13"/>
      <c r="L158" s="4">
        <v>1</v>
      </c>
      <c r="M158" s="14">
        <f>497*(1-P3/100)</f>
        <v>497</v>
      </c>
      <c r="N158" s="15"/>
      <c r="O158" s="13">
        <f>M158*N158</f>
        <v>0</v>
      </c>
      <c r="P158" s="13">
        <v>0</v>
      </c>
      <c r="Q158" s="13">
        <v>0</v>
      </c>
      <c r="R158" s="24"/>
      <c r="S158" s="25" t="s">
        <v>675</v>
      </c>
      <c r="T158" s="25" t="s">
        <v>43</v>
      </c>
      <c r="U158" s="5" t="s">
        <v>676</v>
      </c>
      <c r="V158" s="5" t="s">
        <v>677</v>
      </c>
      <c r="W158" s="5" t="s">
        <v>46</v>
      </c>
      <c r="X158" s="5"/>
      <c r="Y158" s="5"/>
      <c r="Z158" s="5" t="str">
        <f>HYPERLINK("https://knigipp.ru/api/getInfo/image/6db067ff-a3ec-11ee-a258-00155d82e908")</f>
        <v>https://knigipp.ru/api/getInfo/image/6db067ff-a3ec-11ee-a258-00155d82e908</v>
      </c>
      <c r="AA158" s="33">
        <v>32</v>
      </c>
      <c r="AB158" s="5" t="s">
        <v>47</v>
      </c>
      <c r="AC158" s="5" t="s">
        <v>86</v>
      </c>
      <c r="AD158" s="5"/>
      <c r="AE158" s="5" t="s">
        <v>49</v>
      </c>
      <c r="AF158" s="5"/>
      <c r="AG158" s="5"/>
      <c r="AH158" s="5" t="s">
        <v>507</v>
      </c>
    </row>
    <row r="159" spans="2:34" ht="22.95" customHeight="1" outlineLevel="2" x14ac:dyDescent="0.2">
      <c r="B159" s="73" t="s">
        <v>678</v>
      </c>
      <c r="C159" s="73"/>
      <c r="D159" s="73"/>
    </row>
    <row r="160" spans="2:34" ht="21" customHeight="1" outlineLevel="3" x14ac:dyDescent="0.2">
      <c r="B160" s="4">
        <v>101</v>
      </c>
      <c r="C160" s="5" t="s">
        <v>679</v>
      </c>
      <c r="D160" s="5" t="s">
        <v>680</v>
      </c>
      <c r="E160" s="6" t="s">
        <v>681</v>
      </c>
      <c r="F160" s="10"/>
      <c r="G160" s="11" t="s">
        <v>682</v>
      </c>
      <c r="H160" s="12">
        <v>50</v>
      </c>
      <c r="I160" s="13" t="s">
        <v>261</v>
      </c>
      <c r="J160" s="13"/>
      <c r="K160" s="13"/>
      <c r="L160" s="4">
        <v>10</v>
      </c>
      <c r="M160" s="14">
        <f>69.3*(1-P3/100)</f>
        <v>69.3</v>
      </c>
      <c r="N160" s="15"/>
      <c r="O160" s="13">
        <f>M160*N160</f>
        <v>0</v>
      </c>
      <c r="P160" s="22">
        <f>0.048*N160</f>
        <v>0</v>
      </c>
      <c r="Q160" s="23">
        <f>0.00017*N160</f>
        <v>0</v>
      </c>
      <c r="R160" s="24"/>
      <c r="S160" s="25" t="s">
        <v>683</v>
      </c>
      <c r="T160" s="25" t="s">
        <v>43</v>
      </c>
      <c r="U160" s="5" t="s">
        <v>684</v>
      </c>
      <c r="V160" s="5"/>
      <c r="W160" s="5" t="s">
        <v>46</v>
      </c>
      <c r="X160" s="5"/>
      <c r="Y160" s="5"/>
      <c r="Z160" s="5" t="str">
        <f>HYPERLINK("https://knigipp.ru/api/getInfo/image/bf8a325b-b586-11ec-a211-ac1f6b442185")</f>
        <v>https://knigipp.ru/api/getInfo/image/bf8a325b-b586-11ec-a211-ac1f6b442185</v>
      </c>
      <c r="AA160" s="33">
        <v>16</v>
      </c>
      <c r="AB160" s="5"/>
      <c r="AC160" s="5" t="s">
        <v>96</v>
      </c>
      <c r="AD160" s="5"/>
      <c r="AE160" s="5" t="s">
        <v>49</v>
      </c>
      <c r="AF160" s="5"/>
      <c r="AG160" s="5"/>
      <c r="AH160" s="5" t="s">
        <v>685</v>
      </c>
    </row>
    <row r="161" spans="2:34" ht="21" customHeight="1" outlineLevel="3" x14ac:dyDescent="0.2">
      <c r="B161" s="4">
        <v>102</v>
      </c>
      <c r="C161" s="5" t="s">
        <v>686</v>
      </c>
      <c r="D161" s="5" t="s">
        <v>687</v>
      </c>
      <c r="E161" s="6" t="s">
        <v>688</v>
      </c>
      <c r="F161" s="10"/>
      <c r="G161" s="11" t="s">
        <v>689</v>
      </c>
      <c r="H161" s="12">
        <v>50</v>
      </c>
      <c r="I161" s="13" t="s">
        <v>261</v>
      </c>
      <c r="J161" s="13"/>
      <c r="K161" s="13"/>
      <c r="L161" s="4">
        <v>10</v>
      </c>
      <c r="M161" s="14">
        <f>69.3*(1-P3/100)</f>
        <v>69.3</v>
      </c>
      <c r="N161" s="15"/>
      <c r="O161" s="13">
        <f>M161*N161</f>
        <v>0</v>
      </c>
      <c r="P161" s="22">
        <f>0.047*N161</f>
        <v>0</v>
      </c>
      <c r="Q161" s="23">
        <f>0.00016*N161</f>
        <v>0</v>
      </c>
      <c r="R161" s="24"/>
      <c r="S161" s="25" t="s">
        <v>690</v>
      </c>
      <c r="T161" s="25" t="s">
        <v>43</v>
      </c>
      <c r="U161" s="5" t="s">
        <v>684</v>
      </c>
      <c r="V161" s="5"/>
      <c r="W161" s="5" t="s">
        <v>46</v>
      </c>
      <c r="X161" s="5"/>
      <c r="Y161" s="5"/>
      <c r="Z161" s="5" t="str">
        <f>HYPERLINK("https://knigipp.ru/api/getInfo/image/fbd216d6-b586-11ec-a211-ac1f6b442185")</f>
        <v>https://knigipp.ru/api/getInfo/image/fbd216d6-b586-11ec-a211-ac1f6b442185</v>
      </c>
      <c r="AA161" s="33">
        <v>16</v>
      </c>
      <c r="AB161" s="5"/>
      <c r="AC161" s="5" t="s">
        <v>96</v>
      </c>
      <c r="AD161" s="5"/>
      <c r="AE161" s="5" t="s">
        <v>49</v>
      </c>
      <c r="AF161" s="5"/>
      <c r="AG161" s="5"/>
      <c r="AH161" s="5" t="s">
        <v>685</v>
      </c>
    </row>
    <row r="162" spans="2:34" ht="22.95" customHeight="1" outlineLevel="1" x14ac:dyDescent="0.2">
      <c r="B162" s="72" t="s">
        <v>691</v>
      </c>
      <c r="C162" s="72"/>
      <c r="D162" s="72"/>
    </row>
    <row r="163" spans="2:34" ht="22.95" customHeight="1" outlineLevel="2" x14ac:dyDescent="0.2">
      <c r="B163" s="73" t="s">
        <v>692</v>
      </c>
      <c r="C163" s="73"/>
      <c r="D163" s="73"/>
    </row>
    <row r="164" spans="2:34" ht="22.95" customHeight="1" outlineLevel="3" x14ac:dyDescent="0.2">
      <c r="B164" s="74" t="s">
        <v>693</v>
      </c>
      <c r="C164" s="74"/>
      <c r="D164" s="74"/>
    </row>
    <row r="165" spans="2:34" ht="21" customHeight="1" outlineLevel="4" x14ac:dyDescent="0.2">
      <c r="B165" s="4">
        <v>103</v>
      </c>
      <c r="C165" s="5" t="s">
        <v>694</v>
      </c>
      <c r="D165" s="5" t="s">
        <v>695</v>
      </c>
      <c r="E165" s="6" t="s">
        <v>696</v>
      </c>
      <c r="F165" s="10"/>
      <c r="G165" s="11" t="s">
        <v>697</v>
      </c>
      <c r="H165" s="12">
        <v>10</v>
      </c>
      <c r="I165" s="13" t="s">
        <v>41</v>
      </c>
      <c r="J165" s="13"/>
      <c r="K165" s="13"/>
      <c r="L165" s="4">
        <v>2</v>
      </c>
      <c r="M165" s="14">
        <f>337*(1-P3/100)</f>
        <v>337</v>
      </c>
      <c r="N165" s="15"/>
      <c r="O165" s="13">
        <f>M165*N165</f>
        <v>0</v>
      </c>
      <c r="P165" s="22">
        <f>0.448*N165</f>
        <v>0</v>
      </c>
      <c r="Q165" s="23">
        <f>0.00072*N165</f>
        <v>0</v>
      </c>
      <c r="R165" s="24"/>
      <c r="S165" s="25" t="s">
        <v>698</v>
      </c>
      <c r="T165" s="25" t="s">
        <v>94</v>
      </c>
      <c r="U165" s="5"/>
      <c r="V165" s="5" t="s">
        <v>699</v>
      </c>
      <c r="W165" s="5" t="s">
        <v>46</v>
      </c>
      <c r="X165" s="5"/>
      <c r="Y165" s="5"/>
      <c r="Z165" s="5" t="str">
        <f>HYPERLINK("https://knigipp.ru/api/getInfo/image/4d8d4e71-f5d8-11ef-a274-00155d82e908")</f>
        <v>https://knigipp.ru/api/getInfo/image/4d8d4e71-f5d8-11ef-a274-00155d82e908</v>
      </c>
      <c r="AA165" s="33">
        <v>256</v>
      </c>
      <c r="AB165" s="5" t="s">
        <v>700</v>
      </c>
      <c r="AC165" s="5" t="s">
        <v>86</v>
      </c>
      <c r="AD165" s="5"/>
      <c r="AE165" s="5" t="s">
        <v>49</v>
      </c>
      <c r="AF165" s="5"/>
      <c r="AG165" s="5"/>
      <c r="AH165" s="5" t="s">
        <v>701</v>
      </c>
    </row>
    <row r="166" spans="2:34" ht="21" customHeight="1" outlineLevel="4" x14ac:dyDescent="0.2">
      <c r="B166" s="4">
        <v>104</v>
      </c>
      <c r="C166" s="5" t="s">
        <v>702</v>
      </c>
      <c r="D166" s="5" t="s">
        <v>703</v>
      </c>
      <c r="E166" s="6" t="s">
        <v>704</v>
      </c>
      <c r="F166" s="10"/>
      <c r="G166" s="11" t="s">
        <v>697</v>
      </c>
      <c r="H166" s="12">
        <v>10</v>
      </c>
      <c r="I166" s="13" t="s">
        <v>41</v>
      </c>
      <c r="J166" s="13"/>
      <c r="K166" s="13"/>
      <c r="L166" s="4">
        <v>2</v>
      </c>
      <c r="M166" s="14">
        <f>337*(1-P3/100)</f>
        <v>337</v>
      </c>
      <c r="N166" s="15"/>
      <c r="O166" s="13">
        <f>M166*N166</f>
        <v>0</v>
      </c>
      <c r="P166" s="22">
        <f>0.357*N166</f>
        <v>0</v>
      </c>
      <c r="Q166" s="23">
        <f>0.00065*N166</f>
        <v>0</v>
      </c>
      <c r="R166" s="24"/>
      <c r="S166" s="25" t="s">
        <v>705</v>
      </c>
      <c r="T166" s="25" t="s">
        <v>94</v>
      </c>
      <c r="U166" s="5"/>
      <c r="V166" s="5" t="s">
        <v>706</v>
      </c>
      <c r="W166" s="5" t="s">
        <v>46</v>
      </c>
      <c r="X166" s="5"/>
      <c r="Y166" s="5"/>
      <c r="Z166" s="5" t="str">
        <f>HYPERLINK("https://knigipp.ru/api/getInfo/image/1bca1ea0-f5d8-11ef-a274-00155d82e908")</f>
        <v>https://knigipp.ru/api/getInfo/image/1bca1ea0-f5d8-11ef-a274-00155d82e908</v>
      </c>
      <c r="AA166" s="33">
        <v>256</v>
      </c>
      <c r="AB166" s="5" t="s">
        <v>700</v>
      </c>
      <c r="AC166" s="5" t="s">
        <v>86</v>
      </c>
      <c r="AD166" s="5"/>
      <c r="AE166" s="5" t="s">
        <v>49</v>
      </c>
      <c r="AF166" s="5"/>
      <c r="AG166" s="5"/>
      <c r="AH166" s="5" t="s">
        <v>701</v>
      </c>
    </row>
    <row r="167" spans="2:34" ht="21" customHeight="1" outlineLevel="4" x14ac:dyDescent="0.2">
      <c r="B167" s="4">
        <v>105</v>
      </c>
      <c r="C167" s="5" t="s">
        <v>707</v>
      </c>
      <c r="D167" s="5" t="s">
        <v>708</v>
      </c>
      <c r="E167" s="6" t="s">
        <v>709</v>
      </c>
      <c r="F167" s="10"/>
      <c r="G167" s="11" t="s">
        <v>697</v>
      </c>
      <c r="H167" s="12">
        <v>10</v>
      </c>
      <c r="I167" s="13" t="s">
        <v>41</v>
      </c>
      <c r="J167" s="13"/>
      <c r="K167" s="13"/>
      <c r="L167" s="4">
        <v>2</v>
      </c>
      <c r="M167" s="14">
        <f>337*(1-P3/100)</f>
        <v>337</v>
      </c>
      <c r="N167" s="15"/>
      <c r="O167" s="13">
        <f>M167*N167</f>
        <v>0</v>
      </c>
      <c r="P167" s="22">
        <f>0.357*N167</f>
        <v>0</v>
      </c>
      <c r="Q167" s="23">
        <f>0.00067*N167</f>
        <v>0</v>
      </c>
      <c r="R167" s="24"/>
      <c r="S167" s="25" t="s">
        <v>710</v>
      </c>
      <c r="T167" s="25" t="s">
        <v>94</v>
      </c>
      <c r="U167" s="5"/>
      <c r="V167" s="5" t="s">
        <v>711</v>
      </c>
      <c r="W167" s="5" t="s">
        <v>46</v>
      </c>
      <c r="X167" s="5"/>
      <c r="Y167" s="5"/>
      <c r="Z167" s="5" t="str">
        <f>HYPERLINK("https://knigipp.ru/api/getInfo/image/78d85ce0-f5d8-11ef-a274-00155d82e908")</f>
        <v>https://knigipp.ru/api/getInfo/image/78d85ce0-f5d8-11ef-a274-00155d82e908</v>
      </c>
      <c r="AA167" s="33">
        <v>256</v>
      </c>
      <c r="AB167" s="5" t="s">
        <v>700</v>
      </c>
      <c r="AC167" s="5" t="s">
        <v>86</v>
      </c>
      <c r="AD167" s="5"/>
      <c r="AE167" s="5" t="s">
        <v>49</v>
      </c>
      <c r="AF167" s="5"/>
      <c r="AG167" s="5"/>
      <c r="AH167" s="5" t="s">
        <v>701</v>
      </c>
    </row>
    <row r="168" spans="2:34" ht="22.95" customHeight="1" outlineLevel="3" x14ac:dyDescent="0.2">
      <c r="B168" s="74" t="s">
        <v>712</v>
      </c>
      <c r="C168" s="74"/>
      <c r="D168" s="74"/>
    </row>
    <row r="169" spans="2:34" ht="21" customHeight="1" outlineLevel="4" x14ac:dyDescent="0.2">
      <c r="B169" s="4">
        <v>106</v>
      </c>
      <c r="C169" s="5" t="s">
        <v>713</v>
      </c>
      <c r="D169" s="5" t="s">
        <v>714</v>
      </c>
      <c r="E169" s="6" t="s">
        <v>715</v>
      </c>
      <c r="F169" s="10"/>
      <c r="G169" s="11"/>
      <c r="H169" s="12">
        <v>10</v>
      </c>
      <c r="I169" s="13" t="s">
        <v>41</v>
      </c>
      <c r="J169" s="13"/>
      <c r="K169" s="13"/>
      <c r="L169" s="4">
        <v>8</v>
      </c>
      <c r="M169" s="14">
        <f>77*(1-P3/100)</f>
        <v>77</v>
      </c>
      <c r="N169" s="15"/>
      <c r="O169" s="13">
        <f>M169*N169</f>
        <v>0</v>
      </c>
      <c r="P169" s="22">
        <f>0.145*N169</f>
        <v>0</v>
      </c>
      <c r="Q169" s="23">
        <f>0.00007*N169</f>
        <v>0</v>
      </c>
      <c r="R169" s="24"/>
      <c r="S169" s="25" t="s">
        <v>716</v>
      </c>
      <c r="T169" s="25" t="s">
        <v>94</v>
      </c>
      <c r="U169" s="5"/>
      <c r="V169" s="5" t="s">
        <v>717</v>
      </c>
      <c r="W169" s="5" t="s">
        <v>46</v>
      </c>
      <c r="X169" s="5"/>
      <c r="Y169" s="5"/>
      <c r="Z169" s="5" t="str">
        <f>HYPERLINK("https://knigipp.ru/api/getInfo/image/47cca0e7-7fcf-11ef-a265-00155d82e908")</f>
        <v>https://knigipp.ru/api/getInfo/image/47cca0e7-7fcf-11ef-a265-00155d82e908</v>
      </c>
      <c r="AA169" s="33">
        <v>80</v>
      </c>
      <c r="AB169" s="5" t="s">
        <v>47</v>
      </c>
      <c r="AC169" s="5" t="s">
        <v>96</v>
      </c>
      <c r="AD169" s="5"/>
      <c r="AE169" s="5" t="s">
        <v>49</v>
      </c>
      <c r="AF169" s="5"/>
      <c r="AG169" s="5"/>
      <c r="AH169" s="5" t="s">
        <v>718</v>
      </c>
    </row>
    <row r="170" spans="2:34" ht="21" customHeight="1" outlineLevel="4" x14ac:dyDescent="0.2">
      <c r="B170" s="4">
        <v>107</v>
      </c>
      <c r="C170" s="5" t="s">
        <v>719</v>
      </c>
      <c r="D170" s="5" t="s">
        <v>720</v>
      </c>
      <c r="E170" s="6" t="s">
        <v>721</v>
      </c>
      <c r="F170" s="10"/>
      <c r="G170" s="11"/>
      <c r="H170" s="12">
        <v>10</v>
      </c>
      <c r="I170" s="13" t="s">
        <v>41</v>
      </c>
      <c r="J170" s="13"/>
      <c r="K170" s="13"/>
      <c r="L170" s="4">
        <v>8</v>
      </c>
      <c r="M170" s="14">
        <f>77*(1-P3/100)</f>
        <v>77</v>
      </c>
      <c r="N170" s="15"/>
      <c r="O170" s="13">
        <f>M170*N170</f>
        <v>0</v>
      </c>
      <c r="P170" s="22">
        <f>0.145*N170</f>
        <v>0</v>
      </c>
      <c r="Q170" s="23">
        <f>0.00007*N170</f>
        <v>0</v>
      </c>
      <c r="R170" s="24"/>
      <c r="S170" s="25" t="s">
        <v>722</v>
      </c>
      <c r="T170" s="25" t="s">
        <v>94</v>
      </c>
      <c r="U170" s="5"/>
      <c r="V170" s="5" t="s">
        <v>723</v>
      </c>
      <c r="W170" s="5" t="s">
        <v>46</v>
      </c>
      <c r="X170" s="5"/>
      <c r="Y170" s="5"/>
      <c r="Z170" s="5" t="str">
        <f>HYPERLINK("https://knigipp.ru/api/getInfo/image/8a4c77cd-7fcf-11ef-a265-00155d82e908")</f>
        <v>https://knigipp.ru/api/getInfo/image/8a4c77cd-7fcf-11ef-a265-00155d82e908</v>
      </c>
      <c r="AA170" s="33">
        <v>80</v>
      </c>
      <c r="AB170" s="5" t="s">
        <v>47</v>
      </c>
      <c r="AC170" s="5" t="s">
        <v>96</v>
      </c>
      <c r="AD170" s="5"/>
      <c r="AE170" s="5" t="s">
        <v>49</v>
      </c>
      <c r="AF170" s="5"/>
      <c r="AG170" s="5"/>
      <c r="AH170" s="5" t="s">
        <v>718</v>
      </c>
    </row>
    <row r="171" spans="2:34" ht="21" customHeight="1" outlineLevel="4" x14ac:dyDescent="0.2">
      <c r="B171" s="4">
        <v>108</v>
      </c>
      <c r="C171" s="5" t="s">
        <v>724</v>
      </c>
      <c r="D171" s="5" t="s">
        <v>725</v>
      </c>
      <c r="E171" s="6" t="s">
        <v>726</v>
      </c>
      <c r="F171" s="10"/>
      <c r="G171" s="11"/>
      <c r="H171" s="12">
        <v>10</v>
      </c>
      <c r="I171" s="13" t="s">
        <v>41</v>
      </c>
      <c r="J171" s="13"/>
      <c r="K171" s="13"/>
      <c r="L171" s="4">
        <v>8</v>
      </c>
      <c r="M171" s="14">
        <f>77*(1-P3/100)</f>
        <v>77</v>
      </c>
      <c r="N171" s="15"/>
      <c r="O171" s="13">
        <f>M171*N171</f>
        <v>0</v>
      </c>
      <c r="P171" s="22">
        <f>0.145*N171</f>
        <v>0</v>
      </c>
      <c r="Q171" s="23">
        <f>0.00007*N171</f>
        <v>0</v>
      </c>
      <c r="R171" s="24"/>
      <c r="S171" s="25" t="s">
        <v>727</v>
      </c>
      <c r="T171" s="25" t="s">
        <v>94</v>
      </c>
      <c r="U171" s="5"/>
      <c r="V171" s="5" t="s">
        <v>728</v>
      </c>
      <c r="W171" s="5" t="s">
        <v>46</v>
      </c>
      <c r="X171" s="5"/>
      <c r="Y171" s="5"/>
      <c r="Z171" s="5" t="str">
        <f>HYPERLINK("https://knigipp.ru/api/getInfo/image/b20a92b8-7fcf-11ef-a265-00155d82e908")</f>
        <v>https://knigipp.ru/api/getInfo/image/b20a92b8-7fcf-11ef-a265-00155d82e908</v>
      </c>
      <c r="AA171" s="33">
        <v>80</v>
      </c>
      <c r="AB171" s="5" t="s">
        <v>47</v>
      </c>
      <c r="AC171" s="5" t="s">
        <v>96</v>
      </c>
      <c r="AD171" s="5"/>
      <c r="AE171" s="5" t="s">
        <v>49</v>
      </c>
      <c r="AF171" s="5"/>
      <c r="AG171" s="5"/>
      <c r="AH171" s="5" t="s">
        <v>718</v>
      </c>
    </row>
    <row r="172" spans="2:34" ht="21" customHeight="1" outlineLevel="4" x14ac:dyDescent="0.2">
      <c r="B172" s="4">
        <v>109</v>
      </c>
      <c r="C172" s="5" t="s">
        <v>729</v>
      </c>
      <c r="D172" s="5" t="s">
        <v>730</v>
      </c>
      <c r="E172" s="6" t="s">
        <v>731</v>
      </c>
      <c r="F172" s="10"/>
      <c r="G172" s="11"/>
      <c r="H172" s="12">
        <v>10</v>
      </c>
      <c r="I172" s="13" t="s">
        <v>41</v>
      </c>
      <c r="J172" s="13"/>
      <c r="K172" s="13"/>
      <c r="L172" s="4">
        <v>8</v>
      </c>
      <c r="M172" s="14">
        <f>77*(1-P3/100)</f>
        <v>77</v>
      </c>
      <c r="N172" s="15"/>
      <c r="O172" s="13">
        <f>M172*N172</f>
        <v>0</v>
      </c>
      <c r="P172" s="22">
        <f>0.145*N172</f>
        <v>0</v>
      </c>
      <c r="Q172" s="23">
        <f>0.00007*N172</f>
        <v>0</v>
      </c>
      <c r="R172" s="24"/>
      <c r="S172" s="25" t="s">
        <v>732</v>
      </c>
      <c r="T172" s="25" t="s">
        <v>94</v>
      </c>
      <c r="U172" s="5"/>
      <c r="V172" s="5" t="s">
        <v>733</v>
      </c>
      <c r="W172" s="5" t="s">
        <v>46</v>
      </c>
      <c r="X172" s="5"/>
      <c r="Y172" s="5"/>
      <c r="Z172" s="5" t="str">
        <f>HYPERLINK("https://knigipp.ru/api/getInfo/image/d3168e64-7fcf-11ef-a265-00155d82e908")</f>
        <v>https://knigipp.ru/api/getInfo/image/d3168e64-7fcf-11ef-a265-00155d82e908</v>
      </c>
      <c r="AA172" s="33">
        <v>80</v>
      </c>
      <c r="AB172" s="5" t="s">
        <v>47</v>
      </c>
      <c r="AC172" s="5" t="s">
        <v>96</v>
      </c>
      <c r="AD172" s="5"/>
      <c r="AE172" s="5" t="s">
        <v>49</v>
      </c>
      <c r="AF172" s="5"/>
      <c r="AG172" s="5"/>
      <c r="AH172" s="5" t="s">
        <v>718</v>
      </c>
    </row>
    <row r="173" spans="2:34" ht="22.95" customHeight="1" outlineLevel="3" x14ac:dyDescent="0.2">
      <c r="B173" s="74" t="s">
        <v>734</v>
      </c>
      <c r="C173" s="74"/>
      <c r="D173" s="74"/>
    </row>
    <row r="174" spans="2:34" ht="21" customHeight="1" outlineLevel="4" x14ac:dyDescent="0.2">
      <c r="B174" s="4">
        <v>110</v>
      </c>
      <c r="C174" s="5" t="s">
        <v>735</v>
      </c>
      <c r="D174" s="5" t="s">
        <v>736</v>
      </c>
      <c r="E174" s="6" t="s">
        <v>737</v>
      </c>
      <c r="F174" s="10"/>
      <c r="G174" s="11" t="s">
        <v>738</v>
      </c>
      <c r="H174" s="12">
        <v>10</v>
      </c>
      <c r="I174" s="13" t="s">
        <v>41</v>
      </c>
      <c r="J174" s="13"/>
      <c r="K174" s="13"/>
      <c r="L174" s="4">
        <v>7</v>
      </c>
      <c r="M174" s="14">
        <f>89*(1-P3/100)</f>
        <v>89</v>
      </c>
      <c r="N174" s="15"/>
      <c r="O174" s="13">
        <f>M174*N174</f>
        <v>0</v>
      </c>
      <c r="P174" s="13">
        <v>0</v>
      </c>
      <c r="Q174" s="13">
        <v>0</v>
      </c>
      <c r="R174" s="24"/>
      <c r="S174" s="25" t="s">
        <v>739</v>
      </c>
      <c r="T174" s="25" t="s">
        <v>94</v>
      </c>
      <c r="U174" s="5"/>
      <c r="V174" s="5"/>
      <c r="W174" s="5" t="s">
        <v>46</v>
      </c>
      <c r="X174" s="5"/>
      <c r="Y174" s="5"/>
      <c r="Z174" s="5" t="str">
        <f>HYPERLINK("https://knigipp.ru/api/getInfo/image/e7309ee3-d1fd-11ed-a230-00155d82e902")</f>
        <v>https://knigipp.ru/api/getInfo/image/e7309ee3-d1fd-11ed-a230-00155d82e902</v>
      </c>
      <c r="AA174" s="33">
        <v>80</v>
      </c>
      <c r="AB174" s="5" t="s">
        <v>574</v>
      </c>
      <c r="AC174" s="5" t="s">
        <v>96</v>
      </c>
      <c r="AD174" s="5"/>
      <c r="AE174" s="5" t="s">
        <v>49</v>
      </c>
      <c r="AF174" s="5"/>
      <c r="AG174" s="5"/>
      <c r="AH174" s="5" t="s">
        <v>740</v>
      </c>
    </row>
    <row r="175" spans="2:34" ht="21" customHeight="1" outlineLevel="4" x14ac:dyDescent="0.2">
      <c r="B175" s="4">
        <v>111</v>
      </c>
      <c r="C175" s="5" t="s">
        <v>741</v>
      </c>
      <c r="D175" s="5" t="s">
        <v>742</v>
      </c>
      <c r="E175" s="6" t="s">
        <v>743</v>
      </c>
      <c r="F175" s="10"/>
      <c r="G175" s="11" t="s">
        <v>738</v>
      </c>
      <c r="H175" s="12">
        <v>10</v>
      </c>
      <c r="I175" s="13" t="s">
        <v>41</v>
      </c>
      <c r="J175" s="13"/>
      <c r="K175" s="13"/>
      <c r="L175" s="4">
        <v>7</v>
      </c>
      <c r="M175" s="14">
        <f>89*(1-P3/100)</f>
        <v>89</v>
      </c>
      <c r="N175" s="15"/>
      <c r="O175" s="13">
        <f>M175*N175</f>
        <v>0</v>
      </c>
      <c r="P175" s="36">
        <f>0.1*N175</f>
        <v>0</v>
      </c>
      <c r="Q175" s="23">
        <f>0.00032*N175</f>
        <v>0</v>
      </c>
      <c r="R175" s="24"/>
      <c r="S175" s="25" t="s">
        <v>744</v>
      </c>
      <c r="T175" s="25" t="s">
        <v>94</v>
      </c>
      <c r="U175" s="5"/>
      <c r="V175" s="5"/>
      <c r="W175" s="5" t="s">
        <v>46</v>
      </c>
      <c r="X175" s="5"/>
      <c r="Y175" s="5"/>
      <c r="Z175" s="5" t="str">
        <f>HYPERLINK("https://knigipp.ru/api/getInfo/image/7aff2dde-d1fd-11ed-a230-00155d82e902")</f>
        <v>https://knigipp.ru/api/getInfo/image/7aff2dde-d1fd-11ed-a230-00155d82e902</v>
      </c>
      <c r="AA175" s="33">
        <v>80</v>
      </c>
      <c r="AB175" s="5" t="s">
        <v>574</v>
      </c>
      <c r="AC175" s="5" t="s">
        <v>96</v>
      </c>
      <c r="AD175" s="5"/>
      <c r="AE175" s="5" t="s">
        <v>49</v>
      </c>
      <c r="AF175" s="5"/>
      <c r="AG175" s="5"/>
      <c r="AH175" s="5" t="s">
        <v>740</v>
      </c>
    </row>
    <row r="176" spans="2:34" ht="21" customHeight="1" outlineLevel="4" x14ac:dyDescent="0.2">
      <c r="B176" s="4">
        <v>112</v>
      </c>
      <c r="C176" s="5" t="s">
        <v>745</v>
      </c>
      <c r="D176" s="5" t="s">
        <v>746</v>
      </c>
      <c r="E176" s="6" t="s">
        <v>747</v>
      </c>
      <c r="F176" s="10"/>
      <c r="G176" s="11" t="s">
        <v>738</v>
      </c>
      <c r="H176" s="12">
        <v>10</v>
      </c>
      <c r="I176" s="13" t="s">
        <v>41</v>
      </c>
      <c r="J176" s="13"/>
      <c r="K176" s="13"/>
      <c r="L176" s="4">
        <v>7</v>
      </c>
      <c r="M176" s="14">
        <f>89*(1-P3/100)</f>
        <v>89</v>
      </c>
      <c r="N176" s="15"/>
      <c r="O176" s="13">
        <f>M176*N176</f>
        <v>0</v>
      </c>
      <c r="P176" s="22">
        <f>0.105*N176</f>
        <v>0</v>
      </c>
      <c r="Q176" s="23">
        <f>0.00045*N176</f>
        <v>0</v>
      </c>
      <c r="R176" s="24"/>
      <c r="S176" s="25" t="s">
        <v>748</v>
      </c>
      <c r="T176" s="25" t="s">
        <v>94</v>
      </c>
      <c r="U176" s="5"/>
      <c r="V176" s="5"/>
      <c r="W176" s="5" t="s">
        <v>46</v>
      </c>
      <c r="X176" s="5"/>
      <c r="Y176" s="5"/>
      <c r="Z176" s="5" t="str">
        <f>HYPERLINK("https://knigipp.ru/api/getInfo/image/116d0ad7-d1fe-11ed-a230-00155d82e902")</f>
        <v>https://knigipp.ru/api/getInfo/image/116d0ad7-d1fe-11ed-a230-00155d82e902</v>
      </c>
      <c r="AA176" s="33">
        <v>80</v>
      </c>
      <c r="AB176" s="5" t="s">
        <v>574</v>
      </c>
      <c r="AC176" s="5" t="s">
        <v>96</v>
      </c>
      <c r="AD176" s="5"/>
      <c r="AE176" s="5" t="s">
        <v>49</v>
      </c>
      <c r="AF176" s="5"/>
      <c r="AG176" s="5"/>
      <c r="AH176" s="5" t="s">
        <v>740</v>
      </c>
    </row>
    <row r="177" spans="2:34" ht="21" customHeight="1" outlineLevel="4" x14ac:dyDescent="0.2">
      <c r="B177" s="4">
        <v>113</v>
      </c>
      <c r="C177" s="5" t="s">
        <v>749</v>
      </c>
      <c r="D177" s="5" t="s">
        <v>750</v>
      </c>
      <c r="E177" s="6" t="s">
        <v>751</v>
      </c>
      <c r="F177" s="10"/>
      <c r="G177" s="11" t="s">
        <v>738</v>
      </c>
      <c r="H177" s="12">
        <v>10</v>
      </c>
      <c r="I177" s="13" t="s">
        <v>41</v>
      </c>
      <c r="J177" s="13"/>
      <c r="K177" s="13"/>
      <c r="L177" s="4">
        <v>7</v>
      </c>
      <c r="M177" s="14">
        <f>89*(1-P3/100)</f>
        <v>89</v>
      </c>
      <c r="N177" s="15"/>
      <c r="O177" s="13">
        <f>M177*N177</f>
        <v>0</v>
      </c>
      <c r="P177" s="22">
        <f>0.098*N177</f>
        <v>0</v>
      </c>
      <c r="Q177" s="23">
        <f>0.00014*N177</f>
        <v>0</v>
      </c>
      <c r="R177" s="24"/>
      <c r="S177" s="25" t="s">
        <v>752</v>
      </c>
      <c r="T177" s="25" t="s">
        <v>94</v>
      </c>
      <c r="U177" s="5"/>
      <c r="V177" s="5"/>
      <c r="W177" s="5" t="s">
        <v>46</v>
      </c>
      <c r="X177" s="5"/>
      <c r="Y177" s="5"/>
      <c r="Z177" s="5" t="str">
        <f>HYPERLINK("https://knigipp.ru/api/getInfo/image/b98b938f-d1fd-11ed-a230-00155d82e902")</f>
        <v>https://knigipp.ru/api/getInfo/image/b98b938f-d1fd-11ed-a230-00155d82e902</v>
      </c>
      <c r="AA177" s="33">
        <v>80</v>
      </c>
      <c r="AB177" s="5" t="s">
        <v>574</v>
      </c>
      <c r="AC177" s="5" t="s">
        <v>96</v>
      </c>
      <c r="AD177" s="5"/>
      <c r="AE177" s="5" t="s">
        <v>49</v>
      </c>
      <c r="AF177" s="5"/>
      <c r="AG177" s="5"/>
      <c r="AH177" s="5" t="s">
        <v>740</v>
      </c>
    </row>
    <row r="178" spans="2:34" ht="22.95" customHeight="1" outlineLevel="3" x14ac:dyDescent="0.2">
      <c r="B178" s="74" t="s">
        <v>753</v>
      </c>
      <c r="C178" s="74"/>
      <c r="D178" s="74"/>
    </row>
    <row r="179" spans="2:34" ht="21" customHeight="1" outlineLevel="4" x14ac:dyDescent="0.2">
      <c r="B179" s="4">
        <v>114</v>
      </c>
      <c r="C179" s="5" t="s">
        <v>754</v>
      </c>
      <c r="D179" s="5" t="s">
        <v>755</v>
      </c>
      <c r="E179" s="6" t="s">
        <v>756</v>
      </c>
      <c r="F179" s="10"/>
      <c r="G179" s="11" t="s">
        <v>757</v>
      </c>
      <c r="H179" s="12">
        <v>10</v>
      </c>
      <c r="I179" s="13" t="s">
        <v>41</v>
      </c>
      <c r="J179" s="13"/>
      <c r="K179" s="13"/>
      <c r="L179" s="4">
        <v>6</v>
      </c>
      <c r="M179" s="14">
        <f>107*(1-P3/100)</f>
        <v>107</v>
      </c>
      <c r="N179" s="15"/>
      <c r="O179" s="13">
        <f>M179*N179</f>
        <v>0</v>
      </c>
      <c r="P179" s="13">
        <v>0</v>
      </c>
      <c r="Q179" s="13">
        <v>0</v>
      </c>
      <c r="R179" s="24"/>
      <c r="S179" s="25" t="s">
        <v>758</v>
      </c>
      <c r="T179" s="25" t="s">
        <v>94</v>
      </c>
      <c r="U179" s="5"/>
      <c r="V179" s="5" t="s">
        <v>759</v>
      </c>
      <c r="W179" s="5" t="s">
        <v>46</v>
      </c>
      <c r="X179" s="5" t="s">
        <v>760</v>
      </c>
      <c r="Y179" s="5"/>
      <c r="Z179" s="5" t="str">
        <f>HYPERLINK("https://knigipp.ru/api/getInfo/image/cf20db10-903e-11ee-a250-00155d82e908")</f>
        <v>https://knigipp.ru/api/getInfo/image/cf20db10-903e-11ee-a250-00155d82e908</v>
      </c>
      <c r="AA179" s="33">
        <v>80</v>
      </c>
      <c r="AB179" s="5" t="s">
        <v>761</v>
      </c>
      <c r="AC179" s="5" t="s">
        <v>96</v>
      </c>
      <c r="AD179" s="5"/>
      <c r="AE179" s="5" t="s">
        <v>49</v>
      </c>
      <c r="AF179" s="5"/>
      <c r="AG179" s="5"/>
      <c r="AH179" s="5" t="s">
        <v>762</v>
      </c>
    </row>
    <row r="180" spans="2:34" ht="21" customHeight="1" outlineLevel="4" x14ac:dyDescent="0.2">
      <c r="B180" s="4">
        <v>115</v>
      </c>
      <c r="C180" s="5" t="s">
        <v>763</v>
      </c>
      <c r="D180" s="5" t="s">
        <v>764</v>
      </c>
      <c r="E180" s="6" t="s">
        <v>765</v>
      </c>
      <c r="F180" s="10"/>
      <c r="G180" s="11" t="s">
        <v>757</v>
      </c>
      <c r="H180" s="12">
        <v>10</v>
      </c>
      <c r="I180" s="13" t="s">
        <v>41</v>
      </c>
      <c r="J180" s="13"/>
      <c r="K180" s="13"/>
      <c r="L180" s="4">
        <v>6</v>
      </c>
      <c r="M180" s="14">
        <f>107*(1-P3/100)</f>
        <v>107</v>
      </c>
      <c r="N180" s="15"/>
      <c r="O180" s="13">
        <f>M180*N180</f>
        <v>0</v>
      </c>
      <c r="P180" s="13">
        <v>0</v>
      </c>
      <c r="Q180" s="13">
        <v>0</v>
      </c>
      <c r="R180" s="24"/>
      <c r="S180" s="25" t="s">
        <v>766</v>
      </c>
      <c r="T180" s="25" t="s">
        <v>94</v>
      </c>
      <c r="U180" s="5"/>
      <c r="V180" s="5" t="s">
        <v>767</v>
      </c>
      <c r="W180" s="5" t="s">
        <v>46</v>
      </c>
      <c r="X180" s="5" t="s">
        <v>768</v>
      </c>
      <c r="Y180" s="5"/>
      <c r="Z180" s="5" t="str">
        <f>HYPERLINK("https://knigipp.ru/api/getInfo/image/88420f05-903f-11ee-a250-00155d82e908")</f>
        <v>https://knigipp.ru/api/getInfo/image/88420f05-903f-11ee-a250-00155d82e908</v>
      </c>
      <c r="AA180" s="33">
        <v>80</v>
      </c>
      <c r="AB180" s="5" t="s">
        <v>761</v>
      </c>
      <c r="AC180" s="5" t="s">
        <v>96</v>
      </c>
      <c r="AD180" s="5"/>
      <c r="AE180" s="5" t="s">
        <v>49</v>
      </c>
      <c r="AF180" s="5"/>
      <c r="AG180" s="5"/>
      <c r="AH180" s="5" t="s">
        <v>762</v>
      </c>
    </row>
    <row r="181" spans="2:34" ht="21" customHeight="1" outlineLevel="4" x14ac:dyDescent="0.2">
      <c r="B181" s="4">
        <v>116</v>
      </c>
      <c r="C181" s="5" t="s">
        <v>769</v>
      </c>
      <c r="D181" s="5" t="s">
        <v>770</v>
      </c>
      <c r="E181" s="6" t="s">
        <v>771</v>
      </c>
      <c r="F181" s="10"/>
      <c r="G181" s="11" t="s">
        <v>757</v>
      </c>
      <c r="H181" s="12">
        <v>10</v>
      </c>
      <c r="I181" s="13" t="s">
        <v>41</v>
      </c>
      <c r="J181" s="13"/>
      <c r="K181" s="13"/>
      <c r="L181" s="4">
        <v>6</v>
      </c>
      <c r="M181" s="14">
        <f>107*(1-P3/100)</f>
        <v>107</v>
      </c>
      <c r="N181" s="15"/>
      <c r="O181" s="13">
        <f>M181*N181</f>
        <v>0</v>
      </c>
      <c r="P181" s="13">
        <v>0</v>
      </c>
      <c r="Q181" s="13">
        <v>0</v>
      </c>
      <c r="R181" s="24"/>
      <c r="S181" s="25" t="s">
        <v>772</v>
      </c>
      <c r="T181" s="25" t="s">
        <v>94</v>
      </c>
      <c r="U181" s="5"/>
      <c r="V181" s="5" t="s">
        <v>773</v>
      </c>
      <c r="W181" s="5" t="s">
        <v>46</v>
      </c>
      <c r="X181" s="5"/>
      <c r="Y181" s="5"/>
      <c r="Z181" s="5" t="str">
        <f>HYPERLINK("https://knigipp.ru/api/getInfo/image/1f50fa96-903f-11ee-a250-00155d82e908")</f>
        <v>https://knigipp.ru/api/getInfo/image/1f50fa96-903f-11ee-a250-00155d82e908</v>
      </c>
      <c r="AA181" s="33">
        <v>80</v>
      </c>
      <c r="AB181" s="5" t="s">
        <v>761</v>
      </c>
      <c r="AC181" s="5" t="s">
        <v>96</v>
      </c>
      <c r="AD181" s="5"/>
      <c r="AE181" s="5" t="s">
        <v>49</v>
      </c>
      <c r="AF181" s="5"/>
      <c r="AG181" s="5"/>
      <c r="AH181" s="5" t="s">
        <v>762</v>
      </c>
    </row>
    <row r="182" spans="2:34" ht="21" customHeight="1" outlineLevel="4" x14ac:dyDescent="0.2">
      <c r="B182" s="4">
        <v>117</v>
      </c>
      <c r="C182" s="5" t="s">
        <v>774</v>
      </c>
      <c r="D182" s="5" t="s">
        <v>775</v>
      </c>
      <c r="E182" s="6" t="s">
        <v>776</v>
      </c>
      <c r="F182" s="10"/>
      <c r="G182" s="11" t="s">
        <v>757</v>
      </c>
      <c r="H182" s="12">
        <v>10</v>
      </c>
      <c r="I182" s="13" t="s">
        <v>41</v>
      </c>
      <c r="J182" s="13"/>
      <c r="K182" s="13"/>
      <c r="L182" s="4">
        <v>6</v>
      </c>
      <c r="M182" s="14">
        <f>107*(1-P3/100)</f>
        <v>107</v>
      </c>
      <c r="N182" s="15"/>
      <c r="O182" s="13">
        <f>M182*N182</f>
        <v>0</v>
      </c>
      <c r="P182" s="13">
        <v>0</v>
      </c>
      <c r="Q182" s="13">
        <v>0</v>
      </c>
      <c r="R182" s="24"/>
      <c r="S182" s="25" t="s">
        <v>777</v>
      </c>
      <c r="T182" s="25" t="s">
        <v>94</v>
      </c>
      <c r="U182" s="5"/>
      <c r="V182" s="5" t="s">
        <v>778</v>
      </c>
      <c r="W182" s="5" t="s">
        <v>46</v>
      </c>
      <c r="X182" s="5" t="s">
        <v>768</v>
      </c>
      <c r="Y182" s="5"/>
      <c r="Z182" s="5" t="str">
        <f>HYPERLINK("https://knigipp.ru/api/getInfo/image/be953103-903f-11ee-a250-00155d82e908")</f>
        <v>https://knigipp.ru/api/getInfo/image/be953103-903f-11ee-a250-00155d82e908</v>
      </c>
      <c r="AA182" s="33">
        <v>80</v>
      </c>
      <c r="AB182" s="5" t="s">
        <v>761</v>
      </c>
      <c r="AC182" s="5" t="s">
        <v>96</v>
      </c>
      <c r="AD182" s="5"/>
      <c r="AE182" s="5" t="s">
        <v>49</v>
      </c>
      <c r="AF182" s="5"/>
      <c r="AG182" s="5"/>
      <c r="AH182" s="5" t="s">
        <v>762</v>
      </c>
    </row>
    <row r="183" spans="2:34" ht="22.95" customHeight="1" outlineLevel="3" x14ac:dyDescent="0.2">
      <c r="B183" s="74" t="s">
        <v>779</v>
      </c>
      <c r="C183" s="74"/>
      <c r="D183" s="74"/>
    </row>
    <row r="184" spans="2:34" ht="21" customHeight="1" outlineLevel="4" x14ac:dyDescent="0.2">
      <c r="B184" s="4">
        <v>118</v>
      </c>
      <c r="C184" s="5" t="s">
        <v>780</v>
      </c>
      <c r="D184" s="5" t="s">
        <v>781</v>
      </c>
      <c r="E184" s="6" t="s">
        <v>782</v>
      </c>
      <c r="F184" s="10"/>
      <c r="G184" s="11" t="s">
        <v>783</v>
      </c>
      <c r="H184" s="12">
        <v>10</v>
      </c>
      <c r="I184" s="13" t="s">
        <v>41</v>
      </c>
      <c r="J184" s="13"/>
      <c r="K184" s="13"/>
      <c r="L184" s="4">
        <v>6</v>
      </c>
      <c r="M184" s="14">
        <f>107*(1-P3/100)</f>
        <v>107</v>
      </c>
      <c r="N184" s="15"/>
      <c r="O184" s="13">
        <f>M184*N184</f>
        <v>0</v>
      </c>
      <c r="P184" s="13">
        <v>0</v>
      </c>
      <c r="Q184" s="13">
        <v>0</v>
      </c>
      <c r="R184" s="24"/>
      <c r="S184" s="25" t="s">
        <v>784</v>
      </c>
      <c r="T184" s="25" t="s">
        <v>94</v>
      </c>
      <c r="U184" s="5"/>
      <c r="V184" s="5" t="s">
        <v>785</v>
      </c>
      <c r="W184" s="5" t="s">
        <v>46</v>
      </c>
      <c r="X184" s="5" t="s">
        <v>786</v>
      </c>
      <c r="Y184" s="5"/>
      <c r="Z184" s="5" t="str">
        <f>HYPERLINK("https://knigipp.ru/api/getInfo/image/6c314e52-903d-11ee-a250-00155d82e908")</f>
        <v>https://knigipp.ru/api/getInfo/image/6c314e52-903d-11ee-a250-00155d82e908</v>
      </c>
      <c r="AA184" s="33">
        <v>80</v>
      </c>
      <c r="AB184" s="5" t="s">
        <v>598</v>
      </c>
      <c r="AC184" s="5" t="s">
        <v>96</v>
      </c>
      <c r="AD184" s="5"/>
      <c r="AE184" s="5" t="s">
        <v>49</v>
      </c>
      <c r="AF184" s="5"/>
      <c r="AG184" s="5"/>
      <c r="AH184" s="5" t="s">
        <v>740</v>
      </c>
    </row>
    <row r="185" spans="2:34" ht="21" customHeight="1" outlineLevel="4" x14ac:dyDescent="0.2">
      <c r="B185" s="4">
        <v>119</v>
      </c>
      <c r="C185" s="5" t="s">
        <v>787</v>
      </c>
      <c r="D185" s="5" t="s">
        <v>788</v>
      </c>
      <c r="E185" s="6" t="s">
        <v>789</v>
      </c>
      <c r="F185" s="10"/>
      <c r="G185" s="11" t="s">
        <v>783</v>
      </c>
      <c r="H185" s="12">
        <v>10</v>
      </c>
      <c r="I185" s="13" t="s">
        <v>41</v>
      </c>
      <c r="J185" s="13"/>
      <c r="K185" s="13"/>
      <c r="L185" s="4">
        <v>6</v>
      </c>
      <c r="M185" s="14">
        <f>107*(1-P3/100)</f>
        <v>107</v>
      </c>
      <c r="N185" s="15"/>
      <c r="O185" s="13">
        <f>M185*N185</f>
        <v>0</v>
      </c>
      <c r="P185" s="22">
        <f>0.098*N185</f>
        <v>0</v>
      </c>
      <c r="Q185" s="23">
        <f>0.00014*N185</f>
        <v>0</v>
      </c>
      <c r="R185" s="24"/>
      <c r="S185" s="25" t="s">
        <v>790</v>
      </c>
      <c r="T185" s="25" t="s">
        <v>94</v>
      </c>
      <c r="U185" s="5"/>
      <c r="V185" s="5" t="s">
        <v>791</v>
      </c>
      <c r="W185" s="5" t="s">
        <v>46</v>
      </c>
      <c r="X185" s="5" t="s">
        <v>786</v>
      </c>
      <c r="Y185" s="5"/>
      <c r="Z185" s="5" t="str">
        <f>HYPERLINK("https://knigipp.ru/api/getInfo/image/34788a3c-903d-11ee-a250-00155d82e908")</f>
        <v>https://knigipp.ru/api/getInfo/image/34788a3c-903d-11ee-a250-00155d82e908</v>
      </c>
      <c r="AA185" s="33">
        <v>80</v>
      </c>
      <c r="AB185" s="5" t="s">
        <v>598</v>
      </c>
      <c r="AC185" s="5" t="s">
        <v>96</v>
      </c>
      <c r="AD185" s="5"/>
      <c r="AE185" s="5" t="s">
        <v>49</v>
      </c>
      <c r="AF185" s="5"/>
      <c r="AG185" s="5"/>
      <c r="AH185" s="5" t="s">
        <v>740</v>
      </c>
    </row>
    <row r="186" spans="2:34" ht="21" customHeight="1" outlineLevel="4" x14ac:dyDescent="0.2">
      <c r="B186" s="4">
        <v>120</v>
      </c>
      <c r="C186" s="5" t="s">
        <v>792</v>
      </c>
      <c r="D186" s="5" t="s">
        <v>793</v>
      </c>
      <c r="E186" s="6" t="s">
        <v>794</v>
      </c>
      <c r="F186" s="10"/>
      <c r="G186" s="11" t="s">
        <v>783</v>
      </c>
      <c r="H186" s="12">
        <v>10</v>
      </c>
      <c r="I186" s="13" t="s">
        <v>41</v>
      </c>
      <c r="J186" s="13"/>
      <c r="K186" s="13"/>
      <c r="L186" s="4">
        <v>6</v>
      </c>
      <c r="M186" s="14">
        <f>107*(1-P3/100)</f>
        <v>107</v>
      </c>
      <c r="N186" s="15"/>
      <c r="O186" s="13">
        <f>M186*N186</f>
        <v>0</v>
      </c>
      <c r="P186" s="13">
        <v>0</v>
      </c>
      <c r="Q186" s="13">
        <v>0</v>
      </c>
      <c r="R186" s="24"/>
      <c r="S186" s="25" t="s">
        <v>795</v>
      </c>
      <c r="T186" s="25" t="s">
        <v>94</v>
      </c>
      <c r="U186" s="5"/>
      <c r="V186" s="5" t="s">
        <v>796</v>
      </c>
      <c r="W186" s="5" t="s">
        <v>46</v>
      </c>
      <c r="X186" s="5" t="s">
        <v>786</v>
      </c>
      <c r="Y186" s="5"/>
      <c r="Z186" s="5" t="str">
        <f>HYPERLINK("https://knigipp.ru/api/getInfo/image/90577f1f-903c-11ee-a250-00155d82e908")</f>
        <v>https://knigipp.ru/api/getInfo/image/90577f1f-903c-11ee-a250-00155d82e908</v>
      </c>
      <c r="AA186" s="33">
        <v>80</v>
      </c>
      <c r="AB186" s="5" t="s">
        <v>598</v>
      </c>
      <c r="AC186" s="5" t="s">
        <v>96</v>
      </c>
      <c r="AD186" s="5"/>
      <c r="AE186" s="5" t="s">
        <v>49</v>
      </c>
      <c r="AF186" s="5"/>
      <c r="AG186" s="5"/>
      <c r="AH186" s="5" t="s">
        <v>740</v>
      </c>
    </row>
    <row r="187" spans="2:34" ht="21" customHeight="1" outlineLevel="4" x14ac:dyDescent="0.2">
      <c r="B187" s="4">
        <v>121</v>
      </c>
      <c r="C187" s="5" t="s">
        <v>797</v>
      </c>
      <c r="D187" s="5" t="s">
        <v>798</v>
      </c>
      <c r="E187" s="6" t="s">
        <v>799</v>
      </c>
      <c r="F187" s="10"/>
      <c r="G187" s="11" t="s">
        <v>783</v>
      </c>
      <c r="H187" s="12">
        <v>10</v>
      </c>
      <c r="I187" s="13" t="s">
        <v>41</v>
      </c>
      <c r="J187" s="13"/>
      <c r="K187" s="13"/>
      <c r="L187" s="4">
        <v>6</v>
      </c>
      <c r="M187" s="14">
        <f>107*(1-P3/100)</f>
        <v>107</v>
      </c>
      <c r="N187" s="15"/>
      <c r="O187" s="13">
        <f>M187*N187</f>
        <v>0</v>
      </c>
      <c r="P187" s="13">
        <v>0</v>
      </c>
      <c r="Q187" s="13">
        <v>0</v>
      </c>
      <c r="R187" s="24"/>
      <c r="S187" s="25" t="s">
        <v>800</v>
      </c>
      <c r="T187" s="25" t="s">
        <v>94</v>
      </c>
      <c r="U187" s="5"/>
      <c r="V187" s="5" t="s">
        <v>801</v>
      </c>
      <c r="W187" s="5" t="s">
        <v>46</v>
      </c>
      <c r="X187" s="5" t="s">
        <v>786</v>
      </c>
      <c r="Y187" s="5"/>
      <c r="Z187" s="5" t="str">
        <f>HYPERLINK("https://knigipp.ru/api/getInfo/image/f5c5ff0f-903c-11ee-a250-00155d82e908")</f>
        <v>https://knigipp.ru/api/getInfo/image/f5c5ff0f-903c-11ee-a250-00155d82e908</v>
      </c>
      <c r="AA187" s="33">
        <v>80</v>
      </c>
      <c r="AB187" s="5" t="s">
        <v>598</v>
      </c>
      <c r="AC187" s="5" t="s">
        <v>96</v>
      </c>
      <c r="AD187" s="5"/>
      <c r="AE187" s="5" t="s">
        <v>49</v>
      </c>
      <c r="AF187" s="5"/>
      <c r="AG187" s="5"/>
      <c r="AH187" s="5" t="s">
        <v>740</v>
      </c>
    </row>
    <row r="188" spans="2:34" ht="22.95" customHeight="1" outlineLevel="3" x14ac:dyDescent="0.2">
      <c r="B188" s="74" t="s">
        <v>802</v>
      </c>
      <c r="C188" s="74"/>
      <c r="D188" s="74"/>
    </row>
    <row r="189" spans="2:34" ht="21" customHeight="1" outlineLevel="4" x14ac:dyDescent="0.2">
      <c r="B189" s="4">
        <v>122</v>
      </c>
      <c r="C189" s="5" t="s">
        <v>803</v>
      </c>
      <c r="D189" s="5" t="s">
        <v>804</v>
      </c>
      <c r="E189" s="6" t="s">
        <v>805</v>
      </c>
      <c r="F189" s="10"/>
      <c r="G189" s="11" t="s">
        <v>806</v>
      </c>
      <c r="H189" s="12">
        <v>10</v>
      </c>
      <c r="I189" s="13" t="s">
        <v>41</v>
      </c>
      <c r="J189" s="13"/>
      <c r="K189" s="13"/>
      <c r="L189" s="4">
        <v>7</v>
      </c>
      <c r="M189" s="14">
        <f>89*(1-P3/100)</f>
        <v>89</v>
      </c>
      <c r="N189" s="15"/>
      <c r="O189" s="13">
        <f>M189*N189</f>
        <v>0</v>
      </c>
      <c r="P189" s="22">
        <f>0.145*N189</f>
        <v>0</v>
      </c>
      <c r="Q189" s="23">
        <f>0.00007*N189</f>
        <v>0</v>
      </c>
      <c r="R189" s="24"/>
      <c r="S189" s="25" t="s">
        <v>807</v>
      </c>
      <c r="T189" s="25" t="s">
        <v>94</v>
      </c>
      <c r="U189" s="5"/>
      <c r="V189" s="5" t="s">
        <v>808</v>
      </c>
      <c r="W189" s="5" t="s">
        <v>46</v>
      </c>
      <c r="X189" s="5"/>
      <c r="Y189" s="5"/>
      <c r="Z189" s="5" t="str">
        <f>HYPERLINK("https://knigipp.ru/api/getInfo/image/b7d435ea-8878-11ee-a249-00155d82e902")</f>
        <v>https://knigipp.ru/api/getInfo/image/b7d435ea-8878-11ee-a249-00155d82e902</v>
      </c>
      <c r="AA189" s="33">
        <v>80</v>
      </c>
      <c r="AB189" s="5" t="s">
        <v>598</v>
      </c>
      <c r="AC189" s="5" t="s">
        <v>96</v>
      </c>
      <c r="AD189" s="5"/>
      <c r="AE189" s="5" t="s">
        <v>49</v>
      </c>
      <c r="AF189" s="5"/>
      <c r="AG189" s="5"/>
      <c r="AH189" s="5" t="s">
        <v>740</v>
      </c>
    </row>
    <row r="190" spans="2:34" ht="21" customHeight="1" outlineLevel="4" x14ac:dyDescent="0.2">
      <c r="B190" s="4">
        <v>123</v>
      </c>
      <c r="C190" s="5" t="s">
        <v>809</v>
      </c>
      <c r="D190" s="5" t="s">
        <v>810</v>
      </c>
      <c r="E190" s="6" t="s">
        <v>811</v>
      </c>
      <c r="F190" s="10"/>
      <c r="G190" s="11" t="s">
        <v>806</v>
      </c>
      <c r="H190" s="12">
        <v>10</v>
      </c>
      <c r="I190" s="13" t="s">
        <v>41</v>
      </c>
      <c r="J190" s="13"/>
      <c r="K190" s="13"/>
      <c r="L190" s="4">
        <v>7</v>
      </c>
      <c r="M190" s="14">
        <f>89*(1-P3/100)</f>
        <v>89</v>
      </c>
      <c r="N190" s="15"/>
      <c r="O190" s="13">
        <f>M190*N190</f>
        <v>0</v>
      </c>
      <c r="P190" s="22">
        <f>0.145*N190</f>
        <v>0</v>
      </c>
      <c r="Q190" s="23">
        <f>0.00007*N190</f>
        <v>0</v>
      </c>
      <c r="R190" s="24"/>
      <c r="S190" s="25" t="s">
        <v>812</v>
      </c>
      <c r="T190" s="25" t="s">
        <v>94</v>
      </c>
      <c r="U190" s="5"/>
      <c r="V190" s="5" t="s">
        <v>808</v>
      </c>
      <c r="W190" s="5" t="s">
        <v>46</v>
      </c>
      <c r="X190" s="5"/>
      <c r="Y190" s="5"/>
      <c r="Z190" s="5" t="str">
        <f>HYPERLINK("https://knigipp.ru/api/getInfo/image/0bd34f43-8879-11ee-a249-00155d82e902")</f>
        <v>https://knigipp.ru/api/getInfo/image/0bd34f43-8879-11ee-a249-00155d82e902</v>
      </c>
      <c r="AA190" s="33">
        <v>80</v>
      </c>
      <c r="AB190" s="5" t="s">
        <v>598</v>
      </c>
      <c r="AC190" s="5" t="s">
        <v>96</v>
      </c>
      <c r="AD190" s="5"/>
      <c r="AE190" s="5" t="s">
        <v>49</v>
      </c>
      <c r="AF190" s="5"/>
      <c r="AG190" s="5"/>
      <c r="AH190" s="5" t="s">
        <v>740</v>
      </c>
    </row>
    <row r="191" spans="2:34" ht="21" customHeight="1" outlineLevel="4" x14ac:dyDescent="0.2">
      <c r="B191" s="4">
        <v>124</v>
      </c>
      <c r="C191" s="5" t="s">
        <v>813</v>
      </c>
      <c r="D191" s="5" t="s">
        <v>814</v>
      </c>
      <c r="E191" s="6" t="s">
        <v>815</v>
      </c>
      <c r="F191" s="10"/>
      <c r="G191" s="11" t="s">
        <v>806</v>
      </c>
      <c r="H191" s="12">
        <v>10</v>
      </c>
      <c r="I191" s="13" t="s">
        <v>41</v>
      </c>
      <c r="J191" s="13"/>
      <c r="K191" s="13"/>
      <c r="L191" s="4">
        <v>7</v>
      </c>
      <c r="M191" s="14">
        <f>89*(1-P3/100)</f>
        <v>89</v>
      </c>
      <c r="N191" s="15"/>
      <c r="O191" s="13">
        <f>M191*N191</f>
        <v>0</v>
      </c>
      <c r="P191" s="22">
        <f>0.145*N191</f>
        <v>0</v>
      </c>
      <c r="Q191" s="23">
        <f>0.00007*N191</f>
        <v>0</v>
      </c>
      <c r="R191" s="24"/>
      <c r="S191" s="25" t="s">
        <v>816</v>
      </c>
      <c r="T191" s="25" t="s">
        <v>94</v>
      </c>
      <c r="U191" s="5"/>
      <c r="V191" s="5" t="s">
        <v>808</v>
      </c>
      <c r="W191" s="5" t="s">
        <v>46</v>
      </c>
      <c r="X191" s="5"/>
      <c r="Y191" s="5"/>
      <c r="Z191" s="5" t="str">
        <f>HYPERLINK("https://knigipp.ru/api/getInfo/image/e1b12da5-8878-11ee-a249-00155d82e902")</f>
        <v>https://knigipp.ru/api/getInfo/image/e1b12da5-8878-11ee-a249-00155d82e902</v>
      </c>
      <c r="AA191" s="33">
        <v>80</v>
      </c>
      <c r="AB191" s="5" t="s">
        <v>598</v>
      </c>
      <c r="AC191" s="5" t="s">
        <v>96</v>
      </c>
      <c r="AD191" s="5"/>
      <c r="AE191" s="5" t="s">
        <v>49</v>
      </c>
      <c r="AF191" s="5"/>
      <c r="AG191" s="5"/>
      <c r="AH191" s="5" t="s">
        <v>740</v>
      </c>
    </row>
    <row r="192" spans="2:34" ht="21" customHeight="1" outlineLevel="4" x14ac:dyDescent="0.2">
      <c r="B192" s="4">
        <v>125</v>
      </c>
      <c r="C192" s="5" t="s">
        <v>817</v>
      </c>
      <c r="D192" s="5" t="s">
        <v>818</v>
      </c>
      <c r="E192" s="6" t="s">
        <v>819</v>
      </c>
      <c r="F192" s="10"/>
      <c r="G192" s="11" t="s">
        <v>806</v>
      </c>
      <c r="H192" s="12">
        <v>10</v>
      </c>
      <c r="I192" s="13" t="s">
        <v>41</v>
      </c>
      <c r="J192" s="13"/>
      <c r="K192" s="13"/>
      <c r="L192" s="4">
        <v>7</v>
      </c>
      <c r="M192" s="14">
        <f>89*(1-P3/100)</f>
        <v>89</v>
      </c>
      <c r="N192" s="15"/>
      <c r="O192" s="13">
        <f>M192*N192</f>
        <v>0</v>
      </c>
      <c r="P192" s="22">
        <f>0.145*N192</f>
        <v>0</v>
      </c>
      <c r="Q192" s="23">
        <f>0.00007*N192</f>
        <v>0</v>
      </c>
      <c r="R192" s="24"/>
      <c r="S192" s="25" t="s">
        <v>820</v>
      </c>
      <c r="T192" s="25" t="s">
        <v>94</v>
      </c>
      <c r="U192" s="5"/>
      <c r="V192" s="5" t="s">
        <v>808</v>
      </c>
      <c r="W192" s="5" t="s">
        <v>46</v>
      </c>
      <c r="X192" s="5"/>
      <c r="Y192" s="5"/>
      <c r="Z192" s="5" t="str">
        <f>HYPERLINK("https://knigipp.ru/api/getInfo/image/52587bc2-8879-11ee-a249-00155d82e902")</f>
        <v>https://knigipp.ru/api/getInfo/image/52587bc2-8879-11ee-a249-00155d82e902</v>
      </c>
      <c r="AA192" s="33">
        <v>80</v>
      </c>
      <c r="AB192" s="5" t="s">
        <v>598</v>
      </c>
      <c r="AC192" s="5" t="s">
        <v>96</v>
      </c>
      <c r="AD192" s="5"/>
      <c r="AE192" s="5" t="s">
        <v>49</v>
      </c>
      <c r="AF192" s="5"/>
      <c r="AG192" s="5"/>
      <c r="AH192" s="5" t="s">
        <v>740</v>
      </c>
    </row>
    <row r="193" spans="2:34" ht="22.95" customHeight="1" outlineLevel="3" x14ac:dyDescent="0.2">
      <c r="B193" s="74" t="s">
        <v>821</v>
      </c>
      <c r="C193" s="74"/>
      <c r="D193" s="74"/>
    </row>
    <row r="194" spans="2:34" ht="21" customHeight="1" outlineLevel="4" x14ac:dyDescent="0.2">
      <c r="B194" s="4">
        <v>126</v>
      </c>
      <c r="C194" s="5" t="s">
        <v>822</v>
      </c>
      <c r="D194" s="5" t="s">
        <v>823</v>
      </c>
      <c r="E194" s="6" t="s">
        <v>824</v>
      </c>
      <c r="F194" s="10"/>
      <c r="G194" s="11" t="s">
        <v>825</v>
      </c>
      <c r="H194" s="12">
        <v>28</v>
      </c>
      <c r="I194" s="13" t="s">
        <v>41</v>
      </c>
      <c r="J194" s="13"/>
      <c r="K194" s="13"/>
      <c r="L194" s="4">
        <v>3</v>
      </c>
      <c r="M194" s="14">
        <f>249*(1-P3/100)</f>
        <v>249</v>
      </c>
      <c r="N194" s="15"/>
      <c r="O194" s="13">
        <f>M194*N194</f>
        <v>0</v>
      </c>
      <c r="P194" s="13">
        <v>0</v>
      </c>
      <c r="Q194" s="13">
        <v>0</v>
      </c>
      <c r="R194" s="24"/>
      <c r="S194" s="25" t="s">
        <v>826</v>
      </c>
      <c r="T194" s="25" t="s">
        <v>94</v>
      </c>
      <c r="U194" s="5"/>
      <c r="V194" s="5" t="s">
        <v>827</v>
      </c>
      <c r="W194" s="5" t="s">
        <v>46</v>
      </c>
      <c r="X194" s="5"/>
      <c r="Y194" s="5"/>
      <c r="Z194" s="5" t="str">
        <f>HYPERLINK("https://knigipp.ru/api/getInfo/image/b0c08e34-78ac-11ee-a248-00155d82e902")</f>
        <v>https://knigipp.ru/api/getInfo/image/b0c08e34-78ac-11ee-a248-00155d82e902</v>
      </c>
      <c r="AA194" s="5"/>
      <c r="AB194" s="5"/>
      <c r="AC194" s="5" t="s">
        <v>828</v>
      </c>
      <c r="AD194" s="5"/>
      <c r="AE194" s="5" t="s">
        <v>49</v>
      </c>
      <c r="AF194" s="5"/>
      <c r="AG194" s="5"/>
      <c r="AH194" s="5" t="s">
        <v>829</v>
      </c>
    </row>
    <row r="195" spans="2:34" ht="22.95" customHeight="1" outlineLevel="3" x14ac:dyDescent="0.2">
      <c r="B195" s="74" t="s">
        <v>830</v>
      </c>
      <c r="C195" s="74"/>
      <c r="D195" s="74"/>
    </row>
    <row r="196" spans="2:34" ht="21" customHeight="1" outlineLevel="4" x14ac:dyDescent="0.2">
      <c r="B196" s="4">
        <v>127</v>
      </c>
      <c r="C196" s="5" t="s">
        <v>831</v>
      </c>
      <c r="D196" s="5" t="s">
        <v>832</v>
      </c>
      <c r="E196" s="6" t="s">
        <v>833</v>
      </c>
      <c r="F196" s="10"/>
      <c r="G196" s="11" t="s">
        <v>834</v>
      </c>
      <c r="H196" s="12">
        <v>20</v>
      </c>
      <c r="I196" s="13" t="s">
        <v>41</v>
      </c>
      <c r="J196" s="13"/>
      <c r="K196" s="13"/>
      <c r="L196" s="4">
        <v>5</v>
      </c>
      <c r="M196" s="14">
        <f>139*(1-P3/100)</f>
        <v>139</v>
      </c>
      <c r="N196" s="15"/>
      <c r="O196" s="13">
        <f>M196*N196</f>
        <v>0</v>
      </c>
      <c r="P196" s="22">
        <f>0.078*N196</f>
        <v>0</v>
      </c>
      <c r="Q196" s="23">
        <f>0.00018*N196</f>
        <v>0</v>
      </c>
      <c r="R196" s="24"/>
      <c r="S196" s="25" t="s">
        <v>835</v>
      </c>
      <c r="T196" s="25" t="s">
        <v>43</v>
      </c>
      <c r="U196" s="5"/>
      <c r="V196" s="5" t="s">
        <v>836</v>
      </c>
      <c r="W196" s="5" t="s">
        <v>46</v>
      </c>
      <c r="X196" s="5"/>
      <c r="Y196" s="5"/>
      <c r="Z196" s="5" t="str">
        <f>HYPERLINK("https://knigipp.ru/api/getInfo/image/0b6ca140-0460-11ef-a25d-00155d82e908")</f>
        <v>https://knigipp.ru/api/getInfo/image/0b6ca140-0460-11ef-a25d-00155d82e908</v>
      </c>
      <c r="AA196" s="33">
        <v>32</v>
      </c>
      <c r="AB196" s="5" t="s">
        <v>47</v>
      </c>
      <c r="AC196" s="5" t="s">
        <v>48</v>
      </c>
      <c r="AD196" s="5"/>
      <c r="AE196" s="5" t="s">
        <v>49</v>
      </c>
      <c r="AF196" s="5"/>
      <c r="AG196" s="5"/>
      <c r="AH196" s="5" t="s">
        <v>837</v>
      </c>
    </row>
    <row r="197" spans="2:34" ht="21" customHeight="1" outlineLevel="4" x14ac:dyDescent="0.2">
      <c r="B197" s="4">
        <v>128</v>
      </c>
      <c r="C197" s="5" t="s">
        <v>838</v>
      </c>
      <c r="D197" s="5" t="s">
        <v>839</v>
      </c>
      <c r="E197" s="6" t="s">
        <v>840</v>
      </c>
      <c r="F197" s="10"/>
      <c r="G197" s="11" t="s">
        <v>834</v>
      </c>
      <c r="H197" s="12">
        <v>20</v>
      </c>
      <c r="I197" s="13" t="s">
        <v>41</v>
      </c>
      <c r="J197" s="13"/>
      <c r="K197" s="13"/>
      <c r="L197" s="4">
        <v>5</v>
      </c>
      <c r="M197" s="14">
        <f>139*(1-P3/100)</f>
        <v>139</v>
      </c>
      <c r="N197" s="15"/>
      <c r="O197" s="13">
        <f>M197*N197</f>
        <v>0</v>
      </c>
      <c r="P197" s="22">
        <f>0.091*N197</f>
        <v>0</v>
      </c>
      <c r="Q197" s="23">
        <f>0.00054*N197</f>
        <v>0</v>
      </c>
      <c r="R197" s="24"/>
      <c r="S197" s="25" t="s">
        <v>841</v>
      </c>
      <c r="T197" s="25" t="s">
        <v>43</v>
      </c>
      <c r="U197" s="5"/>
      <c r="V197" s="5" t="s">
        <v>842</v>
      </c>
      <c r="W197" s="5" t="s">
        <v>46</v>
      </c>
      <c r="X197" s="5"/>
      <c r="Y197" s="5"/>
      <c r="Z197" s="5" t="str">
        <f>HYPERLINK("https://knigipp.ru/api/getInfo/image/c9fd200c-045f-11ef-a25d-00155d82e908")</f>
        <v>https://knigipp.ru/api/getInfo/image/c9fd200c-045f-11ef-a25d-00155d82e908</v>
      </c>
      <c r="AA197" s="33">
        <v>32</v>
      </c>
      <c r="AB197" s="5" t="s">
        <v>47</v>
      </c>
      <c r="AC197" s="5" t="s">
        <v>48</v>
      </c>
      <c r="AD197" s="5"/>
      <c r="AE197" s="5" t="s">
        <v>49</v>
      </c>
      <c r="AF197" s="5"/>
      <c r="AG197" s="5"/>
      <c r="AH197" s="5" t="s">
        <v>837</v>
      </c>
    </row>
    <row r="198" spans="2:34" ht="21" customHeight="1" outlineLevel="4" x14ac:dyDescent="0.2">
      <c r="B198" s="4">
        <v>129</v>
      </c>
      <c r="C198" s="5" t="s">
        <v>843</v>
      </c>
      <c r="D198" s="5" t="s">
        <v>844</v>
      </c>
      <c r="E198" s="6" t="s">
        <v>845</v>
      </c>
      <c r="F198" s="10"/>
      <c r="G198" s="11" t="s">
        <v>846</v>
      </c>
      <c r="H198" s="12">
        <v>20</v>
      </c>
      <c r="I198" s="13" t="s">
        <v>261</v>
      </c>
      <c r="J198" s="13"/>
      <c r="K198" s="13"/>
      <c r="L198" s="4">
        <v>5</v>
      </c>
      <c r="M198" s="14">
        <f>139*(1-P3/100)</f>
        <v>139</v>
      </c>
      <c r="N198" s="15"/>
      <c r="O198" s="13">
        <f>M198*N198</f>
        <v>0</v>
      </c>
      <c r="P198" s="13">
        <v>0</v>
      </c>
      <c r="Q198" s="13">
        <v>0</v>
      </c>
      <c r="R198" s="24"/>
      <c r="S198" s="25" t="s">
        <v>847</v>
      </c>
      <c r="T198" s="25" t="s">
        <v>43</v>
      </c>
      <c r="U198" s="5"/>
      <c r="V198" s="5" t="s">
        <v>848</v>
      </c>
      <c r="W198" s="5" t="s">
        <v>46</v>
      </c>
      <c r="X198" s="5"/>
      <c r="Y198" s="5"/>
      <c r="Z198" s="5" t="str">
        <f>HYPERLINK("https://knigipp.ru/api/getInfo/image/8b3cc861-9026-11ee-a250-00155d82e908")</f>
        <v>https://knigipp.ru/api/getInfo/image/8b3cc861-9026-11ee-a250-00155d82e908</v>
      </c>
      <c r="AA198" s="33">
        <v>32</v>
      </c>
      <c r="AB198" s="5" t="s">
        <v>47</v>
      </c>
      <c r="AC198" s="5" t="s">
        <v>48</v>
      </c>
      <c r="AD198" s="5"/>
      <c r="AE198" s="5" t="s">
        <v>49</v>
      </c>
      <c r="AF198" s="5"/>
      <c r="AG198" s="5"/>
      <c r="AH198" s="5" t="s">
        <v>837</v>
      </c>
    </row>
    <row r="199" spans="2:34" ht="22.95" customHeight="1" outlineLevel="2" x14ac:dyDescent="0.2">
      <c r="B199" s="73" t="s">
        <v>849</v>
      </c>
      <c r="C199" s="73"/>
      <c r="D199" s="73"/>
    </row>
    <row r="200" spans="2:34" ht="22.95" customHeight="1" outlineLevel="3" x14ac:dyDescent="0.2">
      <c r="B200" s="74" t="s">
        <v>850</v>
      </c>
      <c r="C200" s="74"/>
      <c r="D200" s="74"/>
    </row>
    <row r="201" spans="2:34" ht="22.95" customHeight="1" outlineLevel="4" x14ac:dyDescent="0.2">
      <c r="B201" s="75" t="s">
        <v>851</v>
      </c>
      <c r="C201" s="75"/>
      <c r="D201" s="75"/>
    </row>
    <row r="202" spans="2:34" ht="22.95" customHeight="1" outlineLevel="5" x14ac:dyDescent="0.2">
      <c r="B202" s="76" t="s">
        <v>852</v>
      </c>
      <c r="C202" s="76"/>
      <c r="D202" s="76"/>
    </row>
    <row r="203" spans="2:34" ht="21" customHeight="1" outlineLevel="6" x14ac:dyDescent="0.2">
      <c r="B203" s="4">
        <v>130</v>
      </c>
      <c r="C203" s="5" t="s">
        <v>853</v>
      </c>
      <c r="D203" s="5" t="s">
        <v>854</v>
      </c>
      <c r="E203" s="6" t="s">
        <v>855</v>
      </c>
      <c r="F203" s="10"/>
      <c r="G203" s="11"/>
      <c r="H203" s="12">
        <v>10</v>
      </c>
      <c r="I203" s="13" t="s">
        <v>371</v>
      </c>
      <c r="J203" s="13"/>
      <c r="K203" s="13"/>
      <c r="L203" s="4">
        <v>2</v>
      </c>
      <c r="M203" s="14">
        <f>347*(1-P3/100)</f>
        <v>347</v>
      </c>
      <c r="N203" s="15"/>
      <c r="O203" s="13">
        <f>M203*N203</f>
        <v>0</v>
      </c>
      <c r="P203" s="22">
        <f>0.444*N203</f>
        <v>0</v>
      </c>
      <c r="Q203" s="23">
        <f>0.00069*N203</f>
        <v>0</v>
      </c>
      <c r="R203" s="24"/>
      <c r="S203" s="25" t="s">
        <v>856</v>
      </c>
      <c r="T203" s="25" t="s">
        <v>94</v>
      </c>
      <c r="U203" s="5"/>
      <c r="V203" s="5" t="s">
        <v>857</v>
      </c>
      <c r="W203" s="5" t="s">
        <v>46</v>
      </c>
      <c r="X203" s="5" t="s">
        <v>858</v>
      </c>
      <c r="Y203" s="5"/>
      <c r="Z203" s="5" t="str">
        <f>HYPERLINK("https://knigipp.ru/api/getInfo/image/43702794-b44c-11ee-a259-00155d82e908")</f>
        <v>https://knigipp.ru/api/getInfo/image/43702794-b44c-11ee-a259-00155d82e908</v>
      </c>
      <c r="AA203" s="33">
        <v>336</v>
      </c>
      <c r="AB203" s="5" t="s">
        <v>598</v>
      </c>
      <c r="AC203" s="5" t="s">
        <v>86</v>
      </c>
      <c r="AD203" s="5"/>
      <c r="AE203" s="5" t="s">
        <v>49</v>
      </c>
      <c r="AF203" s="5"/>
      <c r="AG203" s="5"/>
      <c r="AH203" s="5" t="s">
        <v>859</v>
      </c>
    </row>
    <row r="204" spans="2:34" ht="22.95" customHeight="1" outlineLevel="5" x14ac:dyDescent="0.2">
      <c r="B204" s="76" t="s">
        <v>860</v>
      </c>
      <c r="C204" s="76"/>
      <c r="D204" s="76"/>
    </row>
    <row r="205" spans="2:34" ht="21" customHeight="1" outlineLevel="6" x14ac:dyDescent="0.2">
      <c r="B205" s="4">
        <v>131</v>
      </c>
      <c r="C205" s="5" t="s">
        <v>861</v>
      </c>
      <c r="D205" s="5" t="s">
        <v>862</v>
      </c>
      <c r="E205" s="6" t="s">
        <v>863</v>
      </c>
      <c r="F205" s="10"/>
      <c r="G205" s="11" t="s">
        <v>864</v>
      </c>
      <c r="H205" s="12">
        <v>10</v>
      </c>
      <c r="I205" s="13" t="s">
        <v>41</v>
      </c>
      <c r="J205" s="13"/>
      <c r="K205" s="13"/>
      <c r="L205" s="4">
        <v>2</v>
      </c>
      <c r="M205" s="14">
        <f>397*(1-P3/100)</f>
        <v>397</v>
      </c>
      <c r="N205" s="15"/>
      <c r="O205" s="13">
        <f>M205*N205</f>
        <v>0</v>
      </c>
      <c r="P205" s="22">
        <f>0.448*N205</f>
        <v>0</v>
      </c>
      <c r="Q205" s="30">
        <f>0.0007*N205</f>
        <v>0</v>
      </c>
      <c r="R205" s="24"/>
      <c r="S205" s="25" t="s">
        <v>865</v>
      </c>
      <c r="T205" s="25" t="s">
        <v>94</v>
      </c>
      <c r="U205" s="5"/>
      <c r="V205" s="5" t="s">
        <v>866</v>
      </c>
      <c r="W205" s="5" t="s">
        <v>46</v>
      </c>
      <c r="X205" s="5"/>
      <c r="Y205" s="5"/>
      <c r="Z205" s="5" t="str">
        <f>HYPERLINK("https://knigipp.ru/api/getInfo/image/da362062-0461-11ef-a25d-00155d82e908")</f>
        <v>https://knigipp.ru/api/getInfo/image/da362062-0461-11ef-a25d-00155d82e908</v>
      </c>
      <c r="AA205" s="33">
        <v>336</v>
      </c>
      <c r="AB205" s="5" t="s">
        <v>598</v>
      </c>
      <c r="AC205" s="5" t="s">
        <v>86</v>
      </c>
      <c r="AD205" s="5"/>
      <c r="AE205" s="5" t="s">
        <v>49</v>
      </c>
      <c r="AF205" s="5"/>
      <c r="AG205" s="5"/>
      <c r="AH205" s="5" t="s">
        <v>867</v>
      </c>
    </row>
    <row r="206" spans="2:34" ht="21" customHeight="1" outlineLevel="6" x14ac:dyDescent="0.2">
      <c r="B206" s="4">
        <v>132</v>
      </c>
      <c r="C206" s="5" t="s">
        <v>868</v>
      </c>
      <c r="D206" s="5" t="s">
        <v>869</v>
      </c>
      <c r="E206" s="6" t="s">
        <v>870</v>
      </c>
      <c r="F206" s="10"/>
      <c r="G206" s="11" t="s">
        <v>864</v>
      </c>
      <c r="H206" s="12">
        <v>10</v>
      </c>
      <c r="I206" s="13" t="s">
        <v>41</v>
      </c>
      <c r="J206" s="13"/>
      <c r="K206" s="13"/>
      <c r="L206" s="4">
        <v>2</v>
      </c>
      <c r="M206" s="14">
        <f>397*(1-P3/100)</f>
        <v>397</v>
      </c>
      <c r="N206" s="15"/>
      <c r="O206" s="13">
        <f>M206*N206</f>
        <v>0</v>
      </c>
      <c r="P206" s="22">
        <f>0.448*N206</f>
        <v>0</v>
      </c>
      <c r="Q206" s="23">
        <f>0.00074*N206</f>
        <v>0</v>
      </c>
      <c r="R206" s="24"/>
      <c r="S206" s="25" t="s">
        <v>871</v>
      </c>
      <c r="T206" s="25" t="s">
        <v>94</v>
      </c>
      <c r="U206" s="5"/>
      <c r="V206" s="5" t="s">
        <v>872</v>
      </c>
      <c r="W206" s="5" t="s">
        <v>46</v>
      </c>
      <c r="X206" s="5"/>
      <c r="Y206" s="5"/>
      <c r="Z206" s="5" t="str">
        <f>HYPERLINK("https://knigipp.ru/api/getInfo/image/282c6761-0462-11ef-a25d-00155d82e908")</f>
        <v>https://knigipp.ru/api/getInfo/image/282c6761-0462-11ef-a25d-00155d82e908</v>
      </c>
      <c r="AA206" s="33">
        <v>336</v>
      </c>
      <c r="AB206" s="5" t="s">
        <v>598</v>
      </c>
      <c r="AC206" s="5" t="s">
        <v>86</v>
      </c>
      <c r="AD206" s="5"/>
      <c r="AE206" s="5" t="s">
        <v>49</v>
      </c>
      <c r="AF206" s="5"/>
      <c r="AG206" s="5"/>
      <c r="AH206" s="5" t="s">
        <v>867</v>
      </c>
    </row>
    <row r="207" spans="2:34" ht="21" customHeight="1" outlineLevel="6" x14ac:dyDescent="0.2">
      <c r="B207" s="4">
        <v>133</v>
      </c>
      <c r="C207" s="5" t="s">
        <v>873</v>
      </c>
      <c r="D207" s="5" t="s">
        <v>874</v>
      </c>
      <c r="E207" s="6" t="s">
        <v>875</v>
      </c>
      <c r="F207" s="10"/>
      <c r="G207" s="11" t="s">
        <v>864</v>
      </c>
      <c r="H207" s="12">
        <v>10</v>
      </c>
      <c r="I207" s="13" t="s">
        <v>261</v>
      </c>
      <c r="J207" s="13"/>
      <c r="K207" s="13"/>
      <c r="L207" s="4">
        <v>2</v>
      </c>
      <c r="M207" s="14">
        <f>397*(1-P3/100)</f>
        <v>397</v>
      </c>
      <c r="N207" s="15"/>
      <c r="O207" s="13">
        <f>M207*N207</f>
        <v>0</v>
      </c>
      <c r="P207" s="22">
        <f>0.444*N207</f>
        <v>0</v>
      </c>
      <c r="Q207" s="23">
        <f>0.00066*N207</f>
        <v>0</v>
      </c>
      <c r="R207" s="24"/>
      <c r="S207" s="25" t="s">
        <v>876</v>
      </c>
      <c r="T207" s="25" t="s">
        <v>94</v>
      </c>
      <c r="U207" s="5"/>
      <c r="V207" s="5" t="s">
        <v>877</v>
      </c>
      <c r="W207" s="5" t="s">
        <v>46</v>
      </c>
      <c r="X207" s="5"/>
      <c r="Y207" s="5"/>
      <c r="Z207" s="5" t="str">
        <f>HYPERLINK("https://knigipp.ru/api/getInfo/image/5b0afe81-0462-11ef-a25d-00155d82e908")</f>
        <v>https://knigipp.ru/api/getInfo/image/5b0afe81-0462-11ef-a25d-00155d82e908</v>
      </c>
      <c r="AA207" s="33">
        <v>336</v>
      </c>
      <c r="AB207" s="5" t="s">
        <v>598</v>
      </c>
      <c r="AC207" s="5" t="s">
        <v>86</v>
      </c>
      <c r="AD207" s="5"/>
      <c r="AE207" s="5" t="s">
        <v>49</v>
      </c>
      <c r="AF207" s="5"/>
      <c r="AG207" s="5"/>
      <c r="AH207" s="5" t="s">
        <v>867</v>
      </c>
    </row>
    <row r="208" spans="2:34" ht="22.95" customHeight="1" outlineLevel="5" x14ac:dyDescent="0.2">
      <c r="B208" s="76" t="s">
        <v>878</v>
      </c>
      <c r="C208" s="76"/>
      <c r="D208" s="76"/>
    </row>
    <row r="209" spans="2:34" ht="21" customHeight="1" outlineLevel="6" x14ac:dyDescent="0.2">
      <c r="B209" s="4">
        <v>134</v>
      </c>
      <c r="C209" s="5" t="s">
        <v>879</v>
      </c>
      <c r="D209" s="5" t="s">
        <v>880</v>
      </c>
      <c r="E209" s="6" t="s">
        <v>881</v>
      </c>
      <c r="F209" s="10"/>
      <c r="G209" s="11"/>
      <c r="H209" s="12">
        <v>10</v>
      </c>
      <c r="I209" s="13" t="s">
        <v>371</v>
      </c>
      <c r="J209" s="13"/>
      <c r="K209" s="13"/>
      <c r="L209" s="4">
        <v>2</v>
      </c>
      <c r="M209" s="14">
        <f>347*(1-P3/100)</f>
        <v>347</v>
      </c>
      <c r="N209" s="15"/>
      <c r="O209" s="13">
        <f>M209*N209</f>
        <v>0</v>
      </c>
      <c r="P209" s="22">
        <f>0.444*N209</f>
        <v>0</v>
      </c>
      <c r="Q209" s="23">
        <f>0.00069*N209</f>
        <v>0</v>
      </c>
      <c r="R209" s="24"/>
      <c r="S209" s="25" t="s">
        <v>882</v>
      </c>
      <c r="T209" s="25" t="s">
        <v>94</v>
      </c>
      <c r="U209" s="5"/>
      <c r="V209" s="5" t="s">
        <v>883</v>
      </c>
      <c r="W209" s="5" t="s">
        <v>46</v>
      </c>
      <c r="X209" s="5" t="s">
        <v>858</v>
      </c>
      <c r="Y209" s="5"/>
      <c r="Z209" s="5" t="str">
        <f>HYPERLINK("https://knigipp.ru/api/getInfo/image/5e37e3cc-b44b-11ee-a259-00155d82e908")</f>
        <v>https://knigipp.ru/api/getInfo/image/5e37e3cc-b44b-11ee-a259-00155d82e908</v>
      </c>
      <c r="AA209" s="33">
        <v>336</v>
      </c>
      <c r="AB209" s="5" t="s">
        <v>598</v>
      </c>
      <c r="AC209" s="5" t="s">
        <v>86</v>
      </c>
      <c r="AD209" s="5"/>
      <c r="AE209" s="5" t="s">
        <v>49</v>
      </c>
      <c r="AF209" s="5"/>
      <c r="AG209" s="5"/>
      <c r="AH209" s="5" t="s">
        <v>884</v>
      </c>
    </row>
    <row r="210" spans="2:34" ht="22.95" customHeight="1" outlineLevel="4" x14ac:dyDescent="0.2">
      <c r="B210" s="75" t="s">
        <v>885</v>
      </c>
      <c r="C210" s="75"/>
      <c r="D210" s="75"/>
    </row>
    <row r="211" spans="2:34" ht="21" customHeight="1" outlineLevel="5" x14ac:dyDescent="0.2">
      <c r="B211" s="4">
        <v>135</v>
      </c>
      <c r="C211" s="5" t="s">
        <v>886</v>
      </c>
      <c r="D211" s="5" t="s">
        <v>887</v>
      </c>
      <c r="E211" s="6" t="s">
        <v>888</v>
      </c>
      <c r="F211" s="10"/>
      <c r="G211" s="11" t="s">
        <v>889</v>
      </c>
      <c r="H211" s="12">
        <v>10</v>
      </c>
      <c r="I211" s="13" t="s">
        <v>261</v>
      </c>
      <c r="J211" s="13"/>
      <c r="K211" s="13"/>
      <c r="L211" s="4">
        <v>1</v>
      </c>
      <c r="M211" s="14">
        <f>279.8*(1-P3/100)</f>
        <v>279.8</v>
      </c>
      <c r="N211" s="15"/>
      <c r="O211" s="13">
        <f>M211*N211</f>
        <v>0</v>
      </c>
      <c r="P211" s="32">
        <f>0.38*N211</f>
        <v>0</v>
      </c>
      <c r="Q211" s="23">
        <f>0.00029*N211</f>
        <v>0</v>
      </c>
      <c r="R211" s="24"/>
      <c r="S211" s="25" t="s">
        <v>890</v>
      </c>
      <c r="T211" s="25" t="s">
        <v>94</v>
      </c>
      <c r="U211" s="5"/>
      <c r="V211" s="5"/>
      <c r="W211" s="5" t="s">
        <v>46</v>
      </c>
      <c r="X211" s="5"/>
      <c r="Y211" s="5"/>
      <c r="Z211" s="5" t="str">
        <f>HYPERLINK("https://knigipp.ru/api/getInfo/image/35056537-c384-11eb-a206-ac1f6b442185")</f>
        <v>https://knigipp.ru/api/getInfo/image/35056537-c384-11eb-a206-ac1f6b442185</v>
      </c>
      <c r="AA211" s="33">
        <v>160</v>
      </c>
      <c r="AB211" s="5"/>
      <c r="AC211" s="5" t="s">
        <v>219</v>
      </c>
      <c r="AD211" s="33">
        <v>120</v>
      </c>
      <c r="AE211" s="5" t="s">
        <v>49</v>
      </c>
      <c r="AF211" s="5"/>
      <c r="AG211" s="5"/>
      <c r="AH211" s="5" t="s">
        <v>891</v>
      </c>
    </row>
    <row r="212" spans="2:34" ht="22.95" customHeight="1" outlineLevel="4" x14ac:dyDescent="0.2">
      <c r="B212" s="75" t="s">
        <v>892</v>
      </c>
      <c r="C212" s="75"/>
      <c r="D212" s="75"/>
    </row>
    <row r="213" spans="2:34" ht="21" customHeight="1" outlineLevel="5" x14ac:dyDescent="0.2">
      <c r="B213" s="4">
        <v>136</v>
      </c>
      <c r="C213" s="5" t="s">
        <v>893</v>
      </c>
      <c r="D213" s="5" t="s">
        <v>894</v>
      </c>
      <c r="E213" s="6" t="s">
        <v>895</v>
      </c>
      <c r="F213" s="10"/>
      <c r="G213" s="11" t="s">
        <v>896</v>
      </c>
      <c r="H213" s="12">
        <v>20</v>
      </c>
      <c r="I213" s="13" t="s">
        <v>41</v>
      </c>
      <c r="J213" s="13"/>
      <c r="K213" s="13"/>
      <c r="L213" s="4">
        <v>5</v>
      </c>
      <c r="M213" s="14">
        <f>129*(1-P3/100)</f>
        <v>129</v>
      </c>
      <c r="N213" s="15"/>
      <c r="O213" s="13">
        <f>M213*N213</f>
        <v>0</v>
      </c>
      <c r="P213" s="22">
        <f>0.118*N213</f>
        <v>0</v>
      </c>
      <c r="Q213" s="23">
        <f>0.00011*N213</f>
        <v>0</v>
      </c>
      <c r="R213" s="24"/>
      <c r="S213" s="25" t="s">
        <v>897</v>
      </c>
      <c r="T213" s="25" t="s">
        <v>94</v>
      </c>
      <c r="U213" s="5"/>
      <c r="V213" s="5" t="s">
        <v>898</v>
      </c>
      <c r="W213" s="5" t="s">
        <v>46</v>
      </c>
      <c r="X213" s="5"/>
      <c r="Y213" s="5"/>
      <c r="Z213" s="5" t="str">
        <f>HYPERLINK("https://knigipp.ru/api/getInfo/image/3e6d2e63-0e3f-11f0-a279-00155d82e908")</f>
        <v>https://knigipp.ru/api/getInfo/image/3e6d2e63-0e3f-11f0-a279-00155d82e908</v>
      </c>
      <c r="AA213" s="33">
        <v>160</v>
      </c>
      <c r="AB213" s="5" t="s">
        <v>598</v>
      </c>
      <c r="AC213" s="5" t="s">
        <v>48</v>
      </c>
      <c r="AD213" s="5"/>
      <c r="AE213" s="5" t="s">
        <v>49</v>
      </c>
      <c r="AF213" s="5"/>
      <c r="AG213" s="5"/>
      <c r="AH213" s="5" t="s">
        <v>899</v>
      </c>
    </row>
    <row r="214" spans="2:34" ht="21" customHeight="1" outlineLevel="5" x14ac:dyDescent="0.2">
      <c r="B214" s="4">
        <v>137</v>
      </c>
      <c r="C214" s="5" t="s">
        <v>900</v>
      </c>
      <c r="D214" s="5" t="s">
        <v>901</v>
      </c>
      <c r="E214" s="6" t="s">
        <v>902</v>
      </c>
      <c r="F214" s="10"/>
      <c r="G214" s="11" t="s">
        <v>896</v>
      </c>
      <c r="H214" s="12">
        <v>20</v>
      </c>
      <c r="I214" s="13" t="s">
        <v>41</v>
      </c>
      <c r="J214" s="13"/>
      <c r="K214" s="13"/>
      <c r="L214" s="4">
        <v>5</v>
      </c>
      <c r="M214" s="14">
        <f>129*(1-P3/100)</f>
        <v>129</v>
      </c>
      <c r="N214" s="15"/>
      <c r="O214" s="13">
        <f>M214*N214</f>
        <v>0</v>
      </c>
      <c r="P214" s="22">
        <f>0.117*N214</f>
        <v>0</v>
      </c>
      <c r="Q214" s="23">
        <f>0.00014*N214</f>
        <v>0</v>
      </c>
      <c r="R214" s="24"/>
      <c r="S214" s="25" t="s">
        <v>903</v>
      </c>
      <c r="T214" s="25" t="s">
        <v>94</v>
      </c>
      <c r="U214" s="5"/>
      <c r="V214" s="5" t="s">
        <v>904</v>
      </c>
      <c r="W214" s="5" t="s">
        <v>46</v>
      </c>
      <c r="X214" s="5"/>
      <c r="Y214" s="5"/>
      <c r="Z214" s="5" t="str">
        <f>HYPERLINK("https://knigipp.ru/api/getInfo/image/badc5044-0e3f-11f0-a279-00155d82e908")</f>
        <v>https://knigipp.ru/api/getInfo/image/badc5044-0e3f-11f0-a279-00155d82e908</v>
      </c>
      <c r="AA214" s="33">
        <v>160</v>
      </c>
      <c r="AB214" s="5" t="s">
        <v>598</v>
      </c>
      <c r="AC214" s="5" t="s">
        <v>48</v>
      </c>
      <c r="AD214" s="5"/>
      <c r="AE214" s="5" t="s">
        <v>49</v>
      </c>
      <c r="AF214" s="5"/>
      <c r="AG214" s="5"/>
      <c r="AH214" s="5" t="s">
        <v>899</v>
      </c>
    </row>
    <row r="215" spans="2:34" ht="21" customHeight="1" outlineLevel="5" x14ac:dyDescent="0.2">
      <c r="B215" s="4">
        <v>138</v>
      </c>
      <c r="C215" s="5" t="s">
        <v>905</v>
      </c>
      <c r="D215" s="5" t="s">
        <v>906</v>
      </c>
      <c r="E215" s="6" t="s">
        <v>907</v>
      </c>
      <c r="F215" s="10"/>
      <c r="G215" s="11" t="s">
        <v>896</v>
      </c>
      <c r="H215" s="12">
        <v>20</v>
      </c>
      <c r="I215" s="13" t="s">
        <v>371</v>
      </c>
      <c r="J215" s="13"/>
      <c r="K215" s="13"/>
      <c r="L215" s="4">
        <v>5</v>
      </c>
      <c r="M215" s="14">
        <f>129*(1-P3/100)</f>
        <v>129</v>
      </c>
      <c r="N215" s="15"/>
      <c r="O215" s="13">
        <f>M215*N215</f>
        <v>0</v>
      </c>
      <c r="P215" s="22">
        <f>0.113*N215</f>
        <v>0</v>
      </c>
      <c r="Q215" s="23">
        <f>0.00012*N215</f>
        <v>0</v>
      </c>
      <c r="R215" s="24"/>
      <c r="S215" s="25" t="s">
        <v>908</v>
      </c>
      <c r="T215" s="25" t="s">
        <v>94</v>
      </c>
      <c r="U215" s="5"/>
      <c r="V215" s="5" t="s">
        <v>909</v>
      </c>
      <c r="W215" s="5" t="s">
        <v>46</v>
      </c>
      <c r="X215" s="5"/>
      <c r="Y215" s="5"/>
      <c r="Z215" s="5" t="str">
        <f>HYPERLINK("https://knigipp.ru/api/getInfo/image/75281d60-0e3f-11f0-a279-00155d82e908")</f>
        <v>https://knigipp.ru/api/getInfo/image/75281d60-0e3f-11f0-a279-00155d82e908</v>
      </c>
      <c r="AA215" s="33">
        <v>160</v>
      </c>
      <c r="AB215" s="5" t="s">
        <v>598</v>
      </c>
      <c r="AC215" s="5" t="s">
        <v>48</v>
      </c>
      <c r="AD215" s="5"/>
      <c r="AE215" s="5" t="s">
        <v>49</v>
      </c>
      <c r="AF215" s="5"/>
      <c r="AG215" s="5"/>
      <c r="AH215" s="5" t="s">
        <v>899</v>
      </c>
    </row>
    <row r="216" spans="2:34" ht="21" customHeight="1" outlineLevel="5" x14ac:dyDescent="0.2">
      <c r="B216" s="4">
        <v>139</v>
      </c>
      <c r="C216" s="5" t="s">
        <v>910</v>
      </c>
      <c r="D216" s="5" t="s">
        <v>911</v>
      </c>
      <c r="E216" s="6" t="s">
        <v>912</v>
      </c>
      <c r="F216" s="10"/>
      <c r="G216" s="11" t="s">
        <v>896</v>
      </c>
      <c r="H216" s="12">
        <v>20</v>
      </c>
      <c r="I216" s="13" t="s">
        <v>371</v>
      </c>
      <c r="J216" s="13"/>
      <c r="K216" s="13"/>
      <c r="L216" s="4">
        <v>5</v>
      </c>
      <c r="M216" s="14">
        <f>129*(1-P3/100)</f>
        <v>129</v>
      </c>
      <c r="N216" s="15"/>
      <c r="O216" s="13">
        <f>M216*N216</f>
        <v>0</v>
      </c>
      <c r="P216" s="22">
        <f>0.116*N216</f>
        <v>0</v>
      </c>
      <c r="Q216" s="23">
        <f>0.00012*N216</f>
        <v>0</v>
      </c>
      <c r="R216" s="24"/>
      <c r="S216" s="25" t="s">
        <v>913</v>
      </c>
      <c r="T216" s="25" t="s">
        <v>94</v>
      </c>
      <c r="U216" s="5"/>
      <c r="V216" s="5" t="s">
        <v>914</v>
      </c>
      <c r="W216" s="5" t="s">
        <v>46</v>
      </c>
      <c r="X216" s="5"/>
      <c r="Y216" s="5"/>
      <c r="Z216" s="5" t="str">
        <f>HYPERLINK("https://knigipp.ru/api/getInfo/image/95e609f3-0e3f-11f0-a279-00155d82e908")</f>
        <v>https://knigipp.ru/api/getInfo/image/95e609f3-0e3f-11f0-a279-00155d82e908</v>
      </c>
      <c r="AA216" s="33">
        <v>160</v>
      </c>
      <c r="AB216" s="5" t="s">
        <v>598</v>
      </c>
      <c r="AC216" s="5" t="s">
        <v>48</v>
      </c>
      <c r="AD216" s="5"/>
      <c r="AE216" s="5" t="s">
        <v>49</v>
      </c>
      <c r="AF216" s="5"/>
      <c r="AG216" s="5"/>
      <c r="AH216" s="5" t="s">
        <v>899</v>
      </c>
    </row>
    <row r="217" spans="2:34" ht="22.95" customHeight="1" outlineLevel="4" x14ac:dyDescent="0.2">
      <c r="B217" s="75" t="s">
        <v>915</v>
      </c>
      <c r="C217" s="75"/>
      <c r="D217" s="75"/>
    </row>
    <row r="218" spans="2:34" ht="21" customHeight="1" outlineLevel="5" x14ac:dyDescent="0.2">
      <c r="B218" s="4">
        <v>140</v>
      </c>
      <c r="C218" s="5" t="s">
        <v>916</v>
      </c>
      <c r="D218" s="5" t="s">
        <v>917</v>
      </c>
      <c r="E218" s="6" t="s">
        <v>918</v>
      </c>
      <c r="F218" s="10"/>
      <c r="G218" s="11" t="s">
        <v>919</v>
      </c>
      <c r="H218" s="12">
        <v>20</v>
      </c>
      <c r="I218" s="13" t="s">
        <v>41</v>
      </c>
      <c r="J218" s="13"/>
      <c r="K218" s="13"/>
      <c r="L218" s="4">
        <v>10</v>
      </c>
      <c r="M218" s="14">
        <f>67*(1-P3/100)</f>
        <v>67</v>
      </c>
      <c r="N218" s="15"/>
      <c r="O218" s="13">
        <f>M218*N218</f>
        <v>0</v>
      </c>
      <c r="P218" s="22">
        <f>0.051*N218</f>
        <v>0</v>
      </c>
      <c r="Q218" s="23">
        <f>0.00009*N218</f>
        <v>0</v>
      </c>
      <c r="R218" s="24"/>
      <c r="S218" s="25" t="s">
        <v>920</v>
      </c>
      <c r="T218" s="25" t="s">
        <v>94</v>
      </c>
      <c r="U218" s="5"/>
      <c r="V218" s="5" t="s">
        <v>921</v>
      </c>
      <c r="W218" s="5" t="s">
        <v>46</v>
      </c>
      <c r="X218" s="5" t="s">
        <v>922</v>
      </c>
      <c r="Y218" s="5"/>
      <c r="Z218" s="5" t="str">
        <f>HYPERLINK("https://knigipp.ru/api/getInfo/image/bd8cc75d-8771-11ee-a248-00155d82e902")</f>
        <v>https://knigipp.ru/api/getInfo/image/bd8cc75d-8771-11ee-a248-00155d82e902</v>
      </c>
      <c r="AA218" s="33">
        <v>64</v>
      </c>
      <c r="AB218" s="5" t="s">
        <v>598</v>
      </c>
      <c r="AC218" s="5" t="s">
        <v>96</v>
      </c>
      <c r="AD218" s="5"/>
      <c r="AE218" s="5" t="s">
        <v>49</v>
      </c>
      <c r="AF218" s="5"/>
      <c r="AG218" s="5"/>
      <c r="AH218" s="5" t="s">
        <v>923</v>
      </c>
    </row>
    <row r="219" spans="2:34" ht="21" customHeight="1" outlineLevel="5" x14ac:dyDescent="0.2">
      <c r="B219" s="4">
        <v>141</v>
      </c>
      <c r="C219" s="5" t="s">
        <v>924</v>
      </c>
      <c r="D219" s="5" t="s">
        <v>925</v>
      </c>
      <c r="E219" s="6" t="s">
        <v>926</v>
      </c>
      <c r="F219" s="10"/>
      <c r="G219" s="11" t="s">
        <v>919</v>
      </c>
      <c r="H219" s="12">
        <v>20</v>
      </c>
      <c r="I219" s="13" t="s">
        <v>41</v>
      </c>
      <c r="J219" s="13"/>
      <c r="K219" s="13"/>
      <c r="L219" s="4">
        <v>10</v>
      </c>
      <c r="M219" s="14">
        <f>67*(1-P3/100)</f>
        <v>67</v>
      </c>
      <c r="N219" s="15"/>
      <c r="O219" s="13">
        <f>M219*N219</f>
        <v>0</v>
      </c>
      <c r="P219" s="22">
        <f>0.051*N219</f>
        <v>0</v>
      </c>
      <c r="Q219" s="23">
        <f>0.00009*N219</f>
        <v>0</v>
      </c>
      <c r="R219" s="24"/>
      <c r="S219" s="25" t="s">
        <v>927</v>
      </c>
      <c r="T219" s="25" t="s">
        <v>94</v>
      </c>
      <c r="U219" s="5"/>
      <c r="V219" s="5" t="s">
        <v>928</v>
      </c>
      <c r="W219" s="5" t="s">
        <v>46</v>
      </c>
      <c r="X219" s="5" t="s">
        <v>922</v>
      </c>
      <c r="Y219" s="5"/>
      <c r="Z219" s="5" t="str">
        <f>HYPERLINK("https://knigipp.ru/api/getInfo/image/def77f9f-8776-11ee-a248-00155d82e902")</f>
        <v>https://knigipp.ru/api/getInfo/image/def77f9f-8776-11ee-a248-00155d82e902</v>
      </c>
      <c r="AA219" s="33">
        <v>64</v>
      </c>
      <c r="AB219" s="5" t="s">
        <v>598</v>
      </c>
      <c r="AC219" s="5" t="s">
        <v>96</v>
      </c>
      <c r="AD219" s="5"/>
      <c r="AE219" s="5" t="s">
        <v>49</v>
      </c>
      <c r="AF219" s="5"/>
      <c r="AG219" s="5"/>
      <c r="AH219" s="5" t="s">
        <v>923</v>
      </c>
    </row>
    <row r="220" spans="2:34" ht="21" customHeight="1" outlineLevel="5" x14ac:dyDescent="0.2">
      <c r="B220" s="4">
        <v>142</v>
      </c>
      <c r="C220" s="5" t="s">
        <v>929</v>
      </c>
      <c r="D220" s="5" t="s">
        <v>930</v>
      </c>
      <c r="E220" s="6" t="s">
        <v>931</v>
      </c>
      <c r="F220" s="10"/>
      <c r="G220" s="11" t="s">
        <v>919</v>
      </c>
      <c r="H220" s="12">
        <v>20</v>
      </c>
      <c r="I220" s="13" t="s">
        <v>41</v>
      </c>
      <c r="J220" s="13"/>
      <c r="K220" s="13"/>
      <c r="L220" s="4">
        <v>10</v>
      </c>
      <c r="M220" s="14">
        <f>67*(1-P3/100)</f>
        <v>67</v>
      </c>
      <c r="N220" s="15"/>
      <c r="O220" s="13">
        <f>M220*N220</f>
        <v>0</v>
      </c>
      <c r="P220" s="22">
        <f>0.051*N220</f>
        <v>0</v>
      </c>
      <c r="Q220" s="23">
        <f>0.00009*N220</f>
        <v>0</v>
      </c>
      <c r="R220" s="24"/>
      <c r="S220" s="25" t="s">
        <v>932</v>
      </c>
      <c r="T220" s="25" t="s">
        <v>94</v>
      </c>
      <c r="U220" s="5"/>
      <c r="V220" s="5" t="s">
        <v>933</v>
      </c>
      <c r="W220" s="5" t="s">
        <v>46</v>
      </c>
      <c r="X220" s="5" t="s">
        <v>922</v>
      </c>
      <c r="Y220" s="5"/>
      <c r="Z220" s="5" t="str">
        <f>HYPERLINK("https://knigipp.ru/api/getInfo/image/02f6716a-8777-11ee-a248-00155d82e902")</f>
        <v>https://knigipp.ru/api/getInfo/image/02f6716a-8777-11ee-a248-00155d82e902</v>
      </c>
      <c r="AA220" s="33">
        <v>64</v>
      </c>
      <c r="AB220" s="5" t="s">
        <v>598</v>
      </c>
      <c r="AC220" s="5" t="s">
        <v>96</v>
      </c>
      <c r="AD220" s="5"/>
      <c r="AE220" s="5" t="s">
        <v>49</v>
      </c>
      <c r="AF220" s="5"/>
      <c r="AG220" s="5"/>
      <c r="AH220" s="5" t="s">
        <v>923</v>
      </c>
    </row>
    <row r="221" spans="2:34" ht="21" customHeight="1" outlineLevel="5" x14ac:dyDescent="0.2">
      <c r="B221" s="4">
        <v>143</v>
      </c>
      <c r="C221" s="5" t="s">
        <v>934</v>
      </c>
      <c r="D221" s="5" t="s">
        <v>935</v>
      </c>
      <c r="E221" s="6" t="s">
        <v>936</v>
      </c>
      <c r="F221" s="10"/>
      <c r="G221" s="11" t="s">
        <v>919</v>
      </c>
      <c r="H221" s="12">
        <v>20</v>
      </c>
      <c r="I221" s="13" t="s">
        <v>41</v>
      </c>
      <c r="J221" s="13"/>
      <c r="K221" s="13"/>
      <c r="L221" s="4">
        <v>10</v>
      </c>
      <c r="M221" s="14">
        <f>67*(1-P3/100)</f>
        <v>67</v>
      </c>
      <c r="N221" s="15"/>
      <c r="O221" s="13">
        <f>M221*N221</f>
        <v>0</v>
      </c>
      <c r="P221" s="22">
        <f>0.051*N221</f>
        <v>0</v>
      </c>
      <c r="Q221" s="23">
        <f>0.00009*N221</f>
        <v>0</v>
      </c>
      <c r="R221" s="24"/>
      <c r="S221" s="25" t="s">
        <v>937</v>
      </c>
      <c r="T221" s="25" t="s">
        <v>94</v>
      </c>
      <c r="U221" s="5"/>
      <c r="V221" s="5" t="s">
        <v>938</v>
      </c>
      <c r="W221" s="5" t="s">
        <v>46</v>
      </c>
      <c r="X221" s="5" t="s">
        <v>922</v>
      </c>
      <c r="Y221" s="5"/>
      <c r="Z221" s="5" t="str">
        <f>HYPERLINK("https://knigipp.ru/api/getInfo/image/28969ef8-8777-11ee-a248-00155d82e902")</f>
        <v>https://knigipp.ru/api/getInfo/image/28969ef8-8777-11ee-a248-00155d82e902</v>
      </c>
      <c r="AA221" s="33">
        <v>64</v>
      </c>
      <c r="AB221" s="5" t="s">
        <v>598</v>
      </c>
      <c r="AC221" s="5" t="s">
        <v>96</v>
      </c>
      <c r="AD221" s="5"/>
      <c r="AE221" s="5" t="s">
        <v>49</v>
      </c>
      <c r="AF221" s="5"/>
      <c r="AG221" s="5"/>
      <c r="AH221" s="5" t="s">
        <v>923</v>
      </c>
    </row>
    <row r="222" spans="2:34" ht="22.95" customHeight="1" outlineLevel="4" x14ac:dyDescent="0.2">
      <c r="B222" s="75" t="s">
        <v>939</v>
      </c>
      <c r="C222" s="75"/>
      <c r="D222" s="75"/>
    </row>
    <row r="223" spans="2:34" ht="21" customHeight="1" outlineLevel="5" x14ac:dyDescent="0.2">
      <c r="B223" s="4">
        <v>144</v>
      </c>
      <c r="C223" s="5" t="s">
        <v>940</v>
      </c>
      <c r="D223" s="5" t="s">
        <v>941</v>
      </c>
      <c r="E223" s="6" t="s">
        <v>942</v>
      </c>
      <c r="F223" s="10"/>
      <c r="G223" s="11" t="s">
        <v>943</v>
      </c>
      <c r="H223" s="12">
        <v>20</v>
      </c>
      <c r="I223" s="13" t="s">
        <v>41</v>
      </c>
      <c r="J223" s="13"/>
      <c r="K223" s="13"/>
      <c r="L223" s="4">
        <v>2</v>
      </c>
      <c r="M223" s="14">
        <f>477*(1-P3/100)</f>
        <v>477</v>
      </c>
      <c r="N223" s="15"/>
      <c r="O223" s="13">
        <f>M223*N223</f>
        <v>0</v>
      </c>
      <c r="P223" s="32">
        <f>0.22*N223</f>
        <v>0</v>
      </c>
      <c r="Q223" s="23">
        <f>0.00032*N223</f>
        <v>0</v>
      </c>
      <c r="R223" s="24"/>
      <c r="S223" s="25" t="s">
        <v>944</v>
      </c>
      <c r="T223" s="25" t="s">
        <v>94</v>
      </c>
      <c r="U223" s="5"/>
      <c r="V223" s="5"/>
      <c r="W223" s="5" t="s">
        <v>463</v>
      </c>
      <c r="X223" s="5"/>
      <c r="Y223" s="5"/>
      <c r="Z223" s="5" t="str">
        <f>HYPERLINK("https://knigipp.ru/api/getInfo/image/b494be5e-a1a3-11ea-a248-ac1f6b442184")</f>
        <v>https://knigipp.ru/api/getInfo/image/b494be5e-a1a3-11ea-a248-ac1f6b442184</v>
      </c>
      <c r="AA223" s="33">
        <v>128</v>
      </c>
      <c r="AB223" s="5"/>
      <c r="AC223" s="5" t="s">
        <v>48</v>
      </c>
      <c r="AD223" s="5"/>
      <c r="AE223" s="5" t="s">
        <v>49</v>
      </c>
      <c r="AF223" s="5"/>
      <c r="AG223" s="5"/>
      <c r="AH223" s="5" t="s">
        <v>945</v>
      </c>
    </row>
    <row r="224" spans="2:34" ht="22.95" customHeight="1" outlineLevel="3" x14ac:dyDescent="0.2">
      <c r="B224" s="74" t="s">
        <v>946</v>
      </c>
      <c r="C224" s="74"/>
      <c r="D224" s="74"/>
    </row>
    <row r="225" spans="2:34" ht="22.95" customHeight="1" outlineLevel="4" x14ac:dyDescent="0.2">
      <c r="B225" s="75" t="s">
        <v>947</v>
      </c>
      <c r="C225" s="75"/>
      <c r="D225" s="75"/>
    </row>
    <row r="226" spans="2:34" ht="21" customHeight="1" outlineLevel="5" x14ac:dyDescent="0.2">
      <c r="B226" s="4">
        <v>145</v>
      </c>
      <c r="C226" s="5" t="s">
        <v>948</v>
      </c>
      <c r="D226" s="5" t="s">
        <v>949</v>
      </c>
      <c r="E226" s="6" t="s">
        <v>950</v>
      </c>
      <c r="F226" s="10"/>
      <c r="G226" s="11"/>
      <c r="H226" s="12">
        <v>10</v>
      </c>
      <c r="I226" s="13" t="s">
        <v>41</v>
      </c>
      <c r="J226" s="13"/>
      <c r="K226" s="13"/>
      <c r="L226" s="4">
        <v>2</v>
      </c>
      <c r="M226" s="14">
        <f>377*(1-P3/100)</f>
        <v>377</v>
      </c>
      <c r="N226" s="15"/>
      <c r="O226" s="13">
        <f>M226*N226</f>
        <v>0</v>
      </c>
      <c r="P226" s="13">
        <v>0</v>
      </c>
      <c r="Q226" s="13">
        <v>0</v>
      </c>
      <c r="R226" s="24"/>
      <c r="S226" s="25" t="s">
        <v>951</v>
      </c>
      <c r="T226" s="25" t="s">
        <v>94</v>
      </c>
      <c r="U226" s="5"/>
      <c r="V226" s="5" t="s">
        <v>952</v>
      </c>
      <c r="W226" s="5" t="s">
        <v>46</v>
      </c>
      <c r="X226" s="5" t="s">
        <v>953</v>
      </c>
      <c r="Y226" s="5"/>
      <c r="Z226" s="5" t="str">
        <f>HYPERLINK("https://knigipp.ru/api/getInfo/image/75122e7c-0c41-11ef-a25d-00155d82e908")</f>
        <v>https://knigipp.ru/api/getInfo/image/75122e7c-0c41-11ef-a25d-00155d82e908</v>
      </c>
      <c r="AA226" s="33">
        <v>320</v>
      </c>
      <c r="AB226" s="5" t="s">
        <v>47</v>
      </c>
      <c r="AC226" s="5" t="s">
        <v>86</v>
      </c>
      <c r="AD226" s="5"/>
      <c r="AE226" s="5" t="s">
        <v>49</v>
      </c>
      <c r="AF226" s="5"/>
      <c r="AG226" s="5"/>
      <c r="AH226" s="5" t="s">
        <v>954</v>
      </c>
    </row>
    <row r="227" spans="2:34" ht="21" customHeight="1" outlineLevel="5" x14ac:dyDescent="0.2">
      <c r="B227" s="4">
        <v>146</v>
      </c>
      <c r="C227" s="5" t="s">
        <v>955</v>
      </c>
      <c r="D227" s="5" t="s">
        <v>956</v>
      </c>
      <c r="E227" s="6" t="s">
        <v>957</v>
      </c>
      <c r="F227" s="10"/>
      <c r="G227" s="11"/>
      <c r="H227" s="12">
        <v>10</v>
      </c>
      <c r="I227" s="13" t="s">
        <v>41</v>
      </c>
      <c r="J227" s="13"/>
      <c r="K227" s="13"/>
      <c r="L227" s="4">
        <v>2</v>
      </c>
      <c r="M227" s="14">
        <f>377*(1-P3/100)</f>
        <v>377</v>
      </c>
      <c r="N227" s="15"/>
      <c r="O227" s="13">
        <f>M227*N227</f>
        <v>0</v>
      </c>
      <c r="P227" s="13">
        <v>0</v>
      </c>
      <c r="Q227" s="13">
        <v>0</v>
      </c>
      <c r="R227" s="24"/>
      <c r="S227" s="25" t="s">
        <v>958</v>
      </c>
      <c r="T227" s="25" t="s">
        <v>94</v>
      </c>
      <c r="U227" s="5"/>
      <c r="V227" s="5" t="s">
        <v>959</v>
      </c>
      <c r="W227" s="5" t="s">
        <v>46</v>
      </c>
      <c r="X227" s="5" t="s">
        <v>953</v>
      </c>
      <c r="Y227" s="5"/>
      <c r="Z227" s="5" t="str">
        <f>HYPERLINK("https://knigipp.ru/api/getInfo/image/2db3fbcf-0c41-11ef-a25d-00155d82e908")</f>
        <v>https://knigipp.ru/api/getInfo/image/2db3fbcf-0c41-11ef-a25d-00155d82e908</v>
      </c>
      <c r="AA227" s="33">
        <v>320</v>
      </c>
      <c r="AB227" s="5" t="s">
        <v>47</v>
      </c>
      <c r="AC227" s="5" t="s">
        <v>86</v>
      </c>
      <c r="AD227" s="5"/>
      <c r="AE227" s="5" t="s">
        <v>49</v>
      </c>
      <c r="AF227" s="5"/>
      <c r="AG227" s="5"/>
      <c r="AH227" s="5" t="s">
        <v>954</v>
      </c>
    </row>
    <row r="228" spans="2:34" ht="21" customHeight="1" outlineLevel="5" x14ac:dyDescent="0.2">
      <c r="B228" s="4">
        <v>147</v>
      </c>
      <c r="C228" s="5" t="s">
        <v>960</v>
      </c>
      <c r="D228" s="5" t="s">
        <v>961</v>
      </c>
      <c r="E228" s="6" t="s">
        <v>962</v>
      </c>
      <c r="F228" s="10"/>
      <c r="G228" s="11"/>
      <c r="H228" s="12">
        <v>10</v>
      </c>
      <c r="I228" s="13" t="s">
        <v>41</v>
      </c>
      <c r="J228" s="13"/>
      <c r="K228" s="13"/>
      <c r="L228" s="4">
        <v>2</v>
      </c>
      <c r="M228" s="14">
        <f>377*(1-P3/100)</f>
        <v>377</v>
      </c>
      <c r="N228" s="15"/>
      <c r="O228" s="13">
        <f>M228*N228</f>
        <v>0</v>
      </c>
      <c r="P228" s="22">
        <f>0.421*N228</f>
        <v>0</v>
      </c>
      <c r="Q228" s="23">
        <f>0.00069*N228</f>
        <v>0</v>
      </c>
      <c r="R228" s="24"/>
      <c r="S228" s="25" t="s">
        <v>963</v>
      </c>
      <c r="T228" s="25" t="s">
        <v>94</v>
      </c>
      <c r="U228" s="5"/>
      <c r="V228" s="5" t="s">
        <v>964</v>
      </c>
      <c r="W228" s="5" t="s">
        <v>46</v>
      </c>
      <c r="X228" s="5" t="s">
        <v>953</v>
      </c>
      <c r="Y228" s="5"/>
      <c r="Z228" s="5" t="str">
        <f>HYPERLINK("https://knigipp.ru/api/getInfo/image/93ef1c27-0c41-11ef-a25d-00155d82e908")</f>
        <v>https://knigipp.ru/api/getInfo/image/93ef1c27-0c41-11ef-a25d-00155d82e908</v>
      </c>
      <c r="AA228" s="33">
        <v>320</v>
      </c>
      <c r="AB228" s="5" t="s">
        <v>47</v>
      </c>
      <c r="AC228" s="5" t="s">
        <v>86</v>
      </c>
      <c r="AD228" s="5"/>
      <c r="AE228" s="5" t="s">
        <v>49</v>
      </c>
      <c r="AF228" s="5"/>
      <c r="AG228" s="5"/>
      <c r="AH228" s="5" t="s">
        <v>954</v>
      </c>
    </row>
    <row r="229" spans="2:34" ht="21" customHeight="1" outlineLevel="5" x14ac:dyDescent="0.2">
      <c r="B229" s="4">
        <v>148</v>
      </c>
      <c r="C229" s="5" t="s">
        <v>965</v>
      </c>
      <c r="D229" s="5" t="s">
        <v>966</v>
      </c>
      <c r="E229" s="6" t="s">
        <v>967</v>
      </c>
      <c r="F229" s="10"/>
      <c r="G229" s="11"/>
      <c r="H229" s="12">
        <v>10</v>
      </c>
      <c r="I229" s="13" t="s">
        <v>41</v>
      </c>
      <c r="J229" s="13"/>
      <c r="K229" s="13"/>
      <c r="L229" s="4">
        <v>2</v>
      </c>
      <c r="M229" s="14">
        <f>377*(1-P3/100)</f>
        <v>377</v>
      </c>
      <c r="N229" s="15"/>
      <c r="O229" s="13">
        <f>M229*N229</f>
        <v>0</v>
      </c>
      <c r="P229" s="22">
        <f>0.422*N229</f>
        <v>0</v>
      </c>
      <c r="Q229" s="23">
        <f>0.00058*N229</f>
        <v>0</v>
      </c>
      <c r="R229" s="24"/>
      <c r="S229" s="25" t="s">
        <v>968</v>
      </c>
      <c r="T229" s="25" t="s">
        <v>94</v>
      </c>
      <c r="U229" s="5"/>
      <c r="V229" s="5" t="s">
        <v>969</v>
      </c>
      <c r="W229" s="5" t="s">
        <v>46</v>
      </c>
      <c r="X229" s="5" t="s">
        <v>953</v>
      </c>
      <c r="Y229" s="5"/>
      <c r="Z229" s="5" t="str">
        <f>HYPERLINK("https://knigipp.ru/api/getInfo/image/c1830c18-0c41-11ef-a25d-00155d82e908")</f>
        <v>https://knigipp.ru/api/getInfo/image/c1830c18-0c41-11ef-a25d-00155d82e908</v>
      </c>
      <c r="AA229" s="33">
        <v>320</v>
      </c>
      <c r="AB229" s="5" t="s">
        <v>47</v>
      </c>
      <c r="AC229" s="5" t="s">
        <v>86</v>
      </c>
      <c r="AD229" s="5"/>
      <c r="AE229" s="5" t="s">
        <v>49</v>
      </c>
      <c r="AF229" s="5"/>
      <c r="AG229" s="5"/>
      <c r="AH229" s="5" t="s">
        <v>954</v>
      </c>
    </row>
    <row r="230" spans="2:34" ht="22.95" customHeight="1" outlineLevel="4" x14ac:dyDescent="0.2">
      <c r="B230" s="75" t="s">
        <v>970</v>
      </c>
      <c r="C230" s="75"/>
      <c r="D230" s="75"/>
    </row>
    <row r="231" spans="2:34" ht="21" customHeight="1" outlineLevel="5" x14ac:dyDescent="0.2">
      <c r="B231" s="4">
        <v>149</v>
      </c>
      <c r="C231" s="5" t="s">
        <v>971</v>
      </c>
      <c r="D231" s="5" t="s">
        <v>972</v>
      </c>
      <c r="E231" s="6" t="s">
        <v>973</v>
      </c>
      <c r="F231" s="10"/>
      <c r="G231" s="11"/>
      <c r="H231" s="12">
        <v>20</v>
      </c>
      <c r="I231" s="13" t="s">
        <v>974</v>
      </c>
      <c r="J231" s="13"/>
      <c r="K231" s="13"/>
      <c r="L231" s="4">
        <v>1</v>
      </c>
      <c r="M231" s="14">
        <f>149*(1-P3/100)</f>
        <v>149</v>
      </c>
      <c r="N231" s="15"/>
      <c r="O231" s="13">
        <f>M231*N231</f>
        <v>0</v>
      </c>
      <c r="P231" s="22">
        <f>0.163*N231</f>
        <v>0</v>
      </c>
      <c r="Q231" s="23">
        <f>0.00029*N231</f>
        <v>0</v>
      </c>
      <c r="R231" s="24"/>
      <c r="S231" s="25" t="s">
        <v>975</v>
      </c>
      <c r="T231" s="25" t="s">
        <v>94</v>
      </c>
      <c r="U231" s="5"/>
      <c r="V231" s="5"/>
      <c r="W231" s="5" t="s">
        <v>976</v>
      </c>
      <c r="X231" s="5"/>
      <c r="Y231" s="5"/>
      <c r="Z231" s="5"/>
      <c r="AA231" s="33">
        <v>80</v>
      </c>
      <c r="AB231" s="5"/>
      <c r="AC231" s="5"/>
      <c r="AD231" s="5"/>
      <c r="AE231" s="5" t="s">
        <v>49</v>
      </c>
      <c r="AF231" s="5"/>
      <c r="AG231" s="5"/>
      <c r="AH231" s="5"/>
    </row>
    <row r="232" spans="2:34" ht="21" customHeight="1" outlineLevel="5" x14ac:dyDescent="0.2">
      <c r="B232" s="4">
        <v>150</v>
      </c>
      <c r="C232" s="5" t="s">
        <v>977</v>
      </c>
      <c r="D232" s="5" t="s">
        <v>978</v>
      </c>
      <c r="E232" s="6" t="s">
        <v>979</v>
      </c>
      <c r="F232" s="10"/>
      <c r="G232" s="11"/>
      <c r="H232" s="12">
        <v>20</v>
      </c>
      <c r="I232" s="13" t="s">
        <v>974</v>
      </c>
      <c r="J232" s="13"/>
      <c r="K232" s="13"/>
      <c r="L232" s="4">
        <v>1</v>
      </c>
      <c r="M232" s="14">
        <f>149*(1-P3/100)</f>
        <v>149</v>
      </c>
      <c r="N232" s="15"/>
      <c r="O232" s="13">
        <f>M232*N232</f>
        <v>0</v>
      </c>
      <c r="P232" s="22">
        <f>0.105*N232</f>
        <v>0</v>
      </c>
      <c r="Q232" s="23">
        <f>0.00036*N232</f>
        <v>0</v>
      </c>
      <c r="R232" s="24"/>
      <c r="S232" s="25" t="s">
        <v>980</v>
      </c>
      <c r="T232" s="25" t="s">
        <v>94</v>
      </c>
      <c r="U232" s="5"/>
      <c r="V232" s="5"/>
      <c r="W232" s="5" t="s">
        <v>976</v>
      </c>
      <c r="X232" s="5"/>
      <c r="Y232" s="5"/>
      <c r="Z232" s="5"/>
      <c r="AA232" s="33">
        <v>80</v>
      </c>
      <c r="AB232" s="5"/>
      <c r="AC232" s="5"/>
      <c r="AD232" s="5"/>
      <c r="AE232" s="5" t="s">
        <v>49</v>
      </c>
      <c r="AF232" s="5"/>
      <c r="AG232" s="5"/>
      <c r="AH232" s="5"/>
    </row>
    <row r="233" spans="2:34" ht="21" customHeight="1" outlineLevel="5" x14ac:dyDescent="0.2">
      <c r="B233" s="4">
        <v>151</v>
      </c>
      <c r="C233" s="5" t="s">
        <v>981</v>
      </c>
      <c r="D233" s="5" t="s">
        <v>982</v>
      </c>
      <c r="E233" s="6" t="s">
        <v>983</v>
      </c>
      <c r="F233" s="10"/>
      <c r="G233" s="11"/>
      <c r="H233" s="12">
        <v>20</v>
      </c>
      <c r="I233" s="13" t="s">
        <v>974</v>
      </c>
      <c r="J233" s="13"/>
      <c r="K233" s="13"/>
      <c r="L233" s="4">
        <v>1</v>
      </c>
      <c r="M233" s="14">
        <f>149*(1-P3/100)</f>
        <v>149</v>
      </c>
      <c r="N233" s="15"/>
      <c r="O233" s="13">
        <f>M233*N233</f>
        <v>0</v>
      </c>
      <c r="P233" s="22">
        <f>0.164*N233</f>
        <v>0</v>
      </c>
      <c r="Q233" s="23">
        <f>0.00029*N233</f>
        <v>0</v>
      </c>
      <c r="R233" s="24"/>
      <c r="S233" s="25" t="s">
        <v>984</v>
      </c>
      <c r="T233" s="25" t="s">
        <v>94</v>
      </c>
      <c r="U233" s="5"/>
      <c r="V233" s="5"/>
      <c r="W233" s="5" t="s">
        <v>976</v>
      </c>
      <c r="X233" s="5"/>
      <c r="Y233" s="5"/>
      <c r="Z233" s="5"/>
      <c r="AA233" s="33">
        <v>80</v>
      </c>
      <c r="AB233" s="5"/>
      <c r="AC233" s="5"/>
      <c r="AD233" s="5"/>
      <c r="AE233" s="5" t="s">
        <v>49</v>
      </c>
      <c r="AF233" s="5"/>
      <c r="AG233" s="5"/>
      <c r="AH233" s="5"/>
    </row>
    <row r="234" spans="2:34" ht="22.95" customHeight="1" outlineLevel="4" x14ac:dyDescent="0.2">
      <c r="B234" s="75" t="s">
        <v>985</v>
      </c>
      <c r="C234" s="75"/>
      <c r="D234" s="75"/>
    </row>
    <row r="235" spans="2:34" ht="21" customHeight="1" outlineLevel="5" x14ac:dyDescent="0.2">
      <c r="B235" s="4">
        <v>152</v>
      </c>
      <c r="C235" s="5" t="s">
        <v>986</v>
      </c>
      <c r="D235" s="5" t="s">
        <v>987</v>
      </c>
      <c r="E235" s="6" t="s">
        <v>988</v>
      </c>
      <c r="F235" s="10"/>
      <c r="G235" s="11" t="s">
        <v>989</v>
      </c>
      <c r="H235" s="12">
        <v>10</v>
      </c>
      <c r="I235" s="13" t="s">
        <v>41</v>
      </c>
      <c r="J235" s="13"/>
      <c r="K235" s="13"/>
      <c r="L235" s="4">
        <v>7</v>
      </c>
      <c r="M235" s="14">
        <f>99*(1-P3/100)</f>
        <v>99</v>
      </c>
      <c r="N235" s="15"/>
      <c r="O235" s="13">
        <f>M235*N235</f>
        <v>0</v>
      </c>
      <c r="P235" s="13">
        <v>0</v>
      </c>
      <c r="Q235" s="13">
        <v>0</v>
      </c>
      <c r="R235" s="24"/>
      <c r="S235" s="25" t="s">
        <v>990</v>
      </c>
      <c r="T235" s="25" t="s">
        <v>94</v>
      </c>
      <c r="U235" s="5"/>
      <c r="V235" s="5" t="s">
        <v>991</v>
      </c>
      <c r="W235" s="5" t="s">
        <v>46</v>
      </c>
      <c r="X235" s="5" t="s">
        <v>992</v>
      </c>
      <c r="Y235" s="5"/>
      <c r="Z235" s="5" t="str">
        <f>HYPERLINK("https://knigipp.ru/api/getInfo/image/516b2964-0c3f-11ef-a25d-00155d82e908")</f>
        <v>https://knigipp.ru/api/getInfo/image/516b2964-0c3f-11ef-a25d-00155d82e908</v>
      </c>
      <c r="AA235" s="33">
        <v>80</v>
      </c>
      <c r="AB235" s="5" t="s">
        <v>598</v>
      </c>
      <c r="AC235" s="5" t="s">
        <v>96</v>
      </c>
      <c r="AD235" s="5"/>
      <c r="AE235" s="5" t="s">
        <v>49</v>
      </c>
      <c r="AF235" s="5"/>
      <c r="AG235" s="5"/>
      <c r="AH235" s="5" t="s">
        <v>740</v>
      </c>
    </row>
    <row r="236" spans="2:34" ht="21" customHeight="1" outlineLevel="5" x14ac:dyDescent="0.2">
      <c r="B236" s="4">
        <v>153</v>
      </c>
      <c r="C236" s="5" t="s">
        <v>993</v>
      </c>
      <c r="D236" s="5" t="s">
        <v>994</v>
      </c>
      <c r="E236" s="6" t="s">
        <v>995</v>
      </c>
      <c r="F236" s="10"/>
      <c r="G236" s="11" t="s">
        <v>989</v>
      </c>
      <c r="H236" s="12">
        <v>10</v>
      </c>
      <c r="I236" s="13" t="s">
        <v>41</v>
      </c>
      <c r="J236" s="13"/>
      <c r="K236" s="13"/>
      <c r="L236" s="4">
        <v>7</v>
      </c>
      <c r="M236" s="14">
        <f>99*(1-P3/100)</f>
        <v>99</v>
      </c>
      <c r="N236" s="15"/>
      <c r="O236" s="13">
        <f>M236*N236</f>
        <v>0</v>
      </c>
      <c r="P236" s="22">
        <f>0.122*N236</f>
        <v>0</v>
      </c>
      <c r="Q236" s="23">
        <f>0.00032*N236</f>
        <v>0</v>
      </c>
      <c r="R236" s="24"/>
      <c r="S236" s="25" t="s">
        <v>996</v>
      </c>
      <c r="T236" s="25" t="s">
        <v>94</v>
      </c>
      <c r="U236" s="5"/>
      <c r="V236" s="5" t="s">
        <v>997</v>
      </c>
      <c r="W236" s="5" t="s">
        <v>46</v>
      </c>
      <c r="X236" s="5" t="s">
        <v>992</v>
      </c>
      <c r="Y236" s="5"/>
      <c r="Z236" s="5" t="str">
        <f>HYPERLINK("https://knigipp.ru/api/getInfo/image/8adf6453-0c3f-11ef-a25d-00155d82e908")</f>
        <v>https://knigipp.ru/api/getInfo/image/8adf6453-0c3f-11ef-a25d-00155d82e908</v>
      </c>
      <c r="AA236" s="33">
        <v>80</v>
      </c>
      <c r="AB236" s="5" t="s">
        <v>598</v>
      </c>
      <c r="AC236" s="5" t="s">
        <v>96</v>
      </c>
      <c r="AD236" s="5"/>
      <c r="AE236" s="5" t="s">
        <v>49</v>
      </c>
      <c r="AF236" s="5"/>
      <c r="AG236" s="5"/>
      <c r="AH236" s="5" t="s">
        <v>740</v>
      </c>
    </row>
    <row r="237" spans="2:34" ht="21" customHeight="1" outlineLevel="5" x14ac:dyDescent="0.2">
      <c r="B237" s="4">
        <v>154</v>
      </c>
      <c r="C237" s="5" t="s">
        <v>998</v>
      </c>
      <c r="D237" s="5" t="s">
        <v>999</v>
      </c>
      <c r="E237" s="6" t="s">
        <v>1000</v>
      </c>
      <c r="F237" s="10"/>
      <c r="G237" s="11" t="s">
        <v>989</v>
      </c>
      <c r="H237" s="12">
        <v>10</v>
      </c>
      <c r="I237" s="13" t="s">
        <v>41</v>
      </c>
      <c r="J237" s="13"/>
      <c r="K237" s="13"/>
      <c r="L237" s="4">
        <v>7</v>
      </c>
      <c r="M237" s="14">
        <f>99*(1-P3/100)</f>
        <v>99</v>
      </c>
      <c r="N237" s="15"/>
      <c r="O237" s="13">
        <f>M237*N237</f>
        <v>0</v>
      </c>
      <c r="P237" s="13">
        <v>0</v>
      </c>
      <c r="Q237" s="13">
        <v>0</v>
      </c>
      <c r="R237" s="24"/>
      <c r="S237" s="25" t="s">
        <v>1001</v>
      </c>
      <c r="T237" s="25" t="s">
        <v>94</v>
      </c>
      <c r="U237" s="5"/>
      <c r="V237" s="5" t="s">
        <v>1002</v>
      </c>
      <c r="W237" s="5" t="s">
        <v>46</v>
      </c>
      <c r="X237" s="5"/>
      <c r="Y237" s="5"/>
      <c r="Z237" s="5" t="str">
        <f>HYPERLINK("https://knigipp.ru/api/getInfo/image/fe65360c-0c3f-11ef-a25d-00155d82e908")</f>
        <v>https://knigipp.ru/api/getInfo/image/fe65360c-0c3f-11ef-a25d-00155d82e908</v>
      </c>
      <c r="AA237" s="33">
        <v>80</v>
      </c>
      <c r="AB237" s="5" t="s">
        <v>598</v>
      </c>
      <c r="AC237" s="5" t="s">
        <v>96</v>
      </c>
      <c r="AD237" s="5"/>
      <c r="AE237" s="5" t="s">
        <v>49</v>
      </c>
      <c r="AF237" s="5"/>
      <c r="AG237" s="5"/>
      <c r="AH237" s="5" t="s">
        <v>740</v>
      </c>
    </row>
    <row r="238" spans="2:34" ht="21" customHeight="1" outlineLevel="5" x14ac:dyDescent="0.2">
      <c r="B238" s="4">
        <v>155</v>
      </c>
      <c r="C238" s="5" t="s">
        <v>1003</v>
      </c>
      <c r="D238" s="5" t="s">
        <v>1004</v>
      </c>
      <c r="E238" s="6" t="s">
        <v>1005</v>
      </c>
      <c r="F238" s="10"/>
      <c r="G238" s="11" t="s">
        <v>989</v>
      </c>
      <c r="H238" s="12">
        <v>10</v>
      </c>
      <c r="I238" s="13" t="s">
        <v>41</v>
      </c>
      <c r="J238" s="13"/>
      <c r="K238" s="13"/>
      <c r="L238" s="4">
        <v>7</v>
      </c>
      <c r="M238" s="14">
        <f>99*(1-P3/100)</f>
        <v>99</v>
      </c>
      <c r="N238" s="15"/>
      <c r="O238" s="13">
        <f>M238*N238</f>
        <v>0</v>
      </c>
      <c r="P238" s="13">
        <v>0</v>
      </c>
      <c r="Q238" s="13">
        <v>0</v>
      </c>
      <c r="R238" s="24"/>
      <c r="S238" s="25" t="s">
        <v>1006</v>
      </c>
      <c r="T238" s="25" t="s">
        <v>94</v>
      </c>
      <c r="U238" s="5"/>
      <c r="V238" s="5" t="s">
        <v>1007</v>
      </c>
      <c r="W238" s="5" t="s">
        <v>46</v>
      </c>
      <c r="X238" s="5" t="s">
        <v>992</v>
      </c>
      <c r="Y238" s="5"/>
      <c r="Z238" s="5" t="str">
        <f>HYPERLINK("https://knigipp.ru/api/getInfo/image/d87fd5b6-0c3f-11ef-a25d-00155d82e908")</f>
        <v>https://knigipp.ru/api/getInfo/image/d87fd5b6-0c3f-11ef-a25d-00155d82e908</v>
      </c>
      <c r="AA238" s="33">
        <v>80</v>
      </c>
      <c r="AB238" s="5" t="s">
        <v>598</v>
      </c>
      <c r="AC238" s="5" t="s">
        <v>96</v>
      </c>
      <c r="AD238" s="5"/>
      <c r="AE238" s="5" t="s">
        <v>49</v>
      </c>
      <c r="AF238" s="5"/>
      <c r="AG238" s="5"/>
      <c r="AH238" s="5" t="s">
        <v>740</v>
      </c>
    </row>
    <row r="239" spans="2:34" ht="22.95" customHeight="1" outlineLevel="4" x14ac:dyDescent="0.2">
      <c r="B239" s="75" t="s">
        <v>1008</v>
      </c>
      <c r="C239" s="75"/>
      <c r="D239" s="75"/>
    </row>
    <row r="240" spans="2:34" ht="21" customHeight="1" outlineLevel="5" x14ac:dyDescent="0.2">
      <c r="B240" s="4">
        <v>156</v>
      </c>
      <c r="C240" s="5" t="s">
        <v>1009</v>
      </c>
      <c r="D240" s="5" t="s">
        <v>1010</v>
      </c>
      <c r="E240" s="6" t="s">
        <v>1011</v>
      </c>
      <c r="F240" s="10"/>
      <c r="G240" s="11" t="s">
        <v>864</v>
      </c>
      <c r="H240" s="12">
        <v>10</v>
      </c>
      <c r="I240" s="13" t="s">
        <v>41</v>
      </c>
      <c r="J240" s="13"/>
      <c r="K240" s="13"/>
      <c r="L240" s="4">
        <v>7</v>
      </c>
      <c r="M240" s="14">
        <f>99*(1-P3/100)</f>
        <v>99</v>
      </c>
      <c r="N240" s="15"/>
      <c r="O240" s="13">
        <f>M240*N240</f>
        <v>0</v>
      </c>
      <c r="P240" s="36">
        <f>0.1*N240</f>
        <v>0</v>
      </c>
      <c r="Q240" s="23">
        <f>0.00014*N240</f>
        <v>0</v>
      </c>
      <c r="R240" s="24"/>
      <c r="S240" s="25" t="s">
        <v>1012</v>
      </c>
      <c r="T240" s="25" t="s">
        <v>94</v>
      </c>
      <c r="U240" s="5"/>
      <c r="V240" s="5" t="s">
        <v>1013</v>
      </c>
      <c r="W240" s="5" t="s">
        <v>46</v>
      </c>
      <c r="X240" s="5" t="s">
        <v>786</v>
      </c>
      <c r="Y240" s="5"/>
      <c r="Z240" s="5" t="str">
        <f>HYPERLINK("https://knigipp.ru/api/getInfo/image/07e466cd-6bfd-11ee-a247-00155d82e902")</f>
        <v>https://knigipp.ru/api/getInfo/image/07e466cd-6bfd-11ee-a247-00155d82e902</v>
      </c>
      <c r="AA240" s="33">
        <v>80</v>
      </c>
      <c r="AB240" s="5" t="s">
        <v>598</v>
      </c>
      <c r="AC240" s="5" t="s">
        <v>96</v>
      </c>
      <c r="AD240" s="5"/>
      <c r="AE240" s="5" t="s">
        <v>49</v>
      </c>
      <c r="AF240" s="5"/>
      <c r="AG240" s="5"/>
      <c r="AH240" s="5" t="s">
        <v>762</v>
      </c>
    </row>
    <row r="241" spans="2:34" ht="21" customHeight="1" outlineLevel="5" x14ac:dyDescent="0.2">
      <c r="B241" s="4">
        <v>157</v>
      </c>
      <c r="C241" s="5" t="s">
        <v>1014</v>
      </c>
      <c r="D241" s="5" t="s">
        <v>1015</v>
      </c>
      <c r="E241" s="6" t="s">
        <v>1016</v>
      </c>
      <c r="F241" s="10"/>
      <c r="G241" s="11" t="s">
        <v>864</v>
      </c>
      <c r="H241" s="12">
        <v>10</v>
      </c>
      <c r="I241" s="13" t="s">
        <v>41</v>
      </c>
      <c r="J241" s="13"/>
      <c r="K241" s="13"/>
      <c r="L241" s="4">
        <v>7</v>
      </c>
      <c r="M241" s="14">
        <f>99*(1-P3/100)</f>
        <v>99</v>
      </c>
      <c r="N241" s="15"/>
      <c r="O241" s="13">
        <f>M241*N241</f>
        <v>0</v>
      </c>
      <c r="P241" s="36">
        <f>0.1*N241</f>
        <v>0</v>
      </c>
      <c r="Q241" s="23">
        <f>0.00014*N241</f>
        <v>0</v>
      </c>
      <c r="R241" s="24"/>
      <c r="S241" s="25" t="s">
        <v>1017</v>
      </c>
      <c r="T241" s="25" t="s">
        <v>94</v>
      </c>
      <c r="U241" s="5"/>
      <c r="V241" s="5" t="s">
        <v>1018</v>
      </c>
      <c r="W241" s="5" t="s">
        <v>46</v>
      </c>
      <c r="X241" s="5" t="s">
        <v>768</v>
      </c>
      <c r="Y241" s="5"/>
      <c r="Z241" s="5" t="str">
        <f>HYPERLINK("https://knigipp.ru/api/getInfo/image/286536d5-6bfd-11ee-a247-00155d82e902")</f>
        <v>https://knigipp.ru/api/getInfo/image/286536d5-6bfd-11ee-a247-00155d82e902</v>
      </c>
      <c r="AA241" s="33">
        <v>80</v>
      </c>
      <c r="AB241" s="5" t="s">
        <v>598</v>
      </c>
      <c r="AC241" s="5" t="s">
        <v>96</v>
      </c>
      <c r="AD241" s="5"/>
      <c r="AE241" s="5" t="s">
        <v>49</v>
      </c>
      <c r="AF241" s="5"/>
      <c r="AG241" s="5"/>
      <c r="AH241" s="5" t="s">
        <v>762</v>
      </c>
    </row>
    <row r="242" spans="2:34" ht="21" customHeight="1" outlineLevel="5" x14ac:dyDescent="0.2">
      <c r="B242" s="4">
        <v>158</v>
      </c>
      <c r="C242" s="5" t="s">
        <v>1019</v>
      </c>
      <c r="D242" s="5" t="s">
        <v>1020</v>
      </c>
      <c r="E242" s="6" t="s">
        <v>1021</v>
      </c>
      <c r="F242" s="10"/>
      <c r="G242" s="11" t="s">
        <v>864</v>
      </c>
      <c r="H242" s="12">
        <v>10</v>
      </c>
      <c r="I242" s="13" t="s">
        <v>41</v>
      </c>
      <c r="J242" s="13"/>
      <c r="K242" s="13"/>
      <c r="L242" s="4">
        <v>7</v>
      </c>
      <c r="M242" s="14">
        <f>99*(1-P3/100)</f>
        <v>99</v>
      </c>
      <c r="N242" s="15"/>
      <c r="O242" s="13">
        <f>M242*N242</f>
        <v>0</v>
      </c>
      <c r="P242" s="36">
        <f>0.1*N242</f>
        <v>0</v>
      </c>
      <c r="Q242" s="23">
        <f>0.00014*N242</f>
        <v>0</v>
      </c>
      <c r="R242" s="24"/>
      <c r="S242" s="25" t="s">
        <v>1022</v>
      </c>
      <c r="T242" s="25" t="s">
        <v>94</v>
      </c>
      <c r="U242" s="5"/>
      <c r="V242" s="5" t="s">
        <v>1023</v>
      </c>
      <c r="W242" s="5" t="s">
        <v>46</v>
      </c>
      <c r="X242" s="5" t="s">
        <v>786</v>
      </c>
      <c r="Y242" s="5"/>
      <c r="Z242" s="5" t="str">
        <f>HYPERLINK("https://knigipp.ru/api/getInfo/image/4e0ede2d-6bfd-11ee-a247-00155d82e902")</f>
        <v>https://knigipp.ru/api/getInfo/image/4e0ede2d-6bfd-11ee-a247-00155d82e902</v>
      </c>
      <c r="AA242" s="33">
        <v>80</v>
      </c>
      <c r="AB242" s="5" t="s">
        <v>598</v>
      </c>
      <c r="AC242" s="5" t="s">
        <v>96</v>
      </c>
      <c r="AD242" s="5"/>
      <c r="AE242" s="5" t="s">
        <v>49</v>
      </c>
      <c r="AF242" s="5"/>
      <c r="AG242" s="5"/>
      <c r="AH242" s="5" t="s">
        <v>762</v>
      </c>
    </row>
    <row r="243" spans="2:34" ht="21" customHeight="1" outlineLevel="5" x14ac:dyDescent="0.2">
      <c r="B243" s="4">
        <v>159</v>
      </c>
      <c r="C243" s="5" t="s">
        <v>1024</v>
      </c>
      <c r="D243" s="5" t="s">
        <v>1025</v>
      </c>
      <c r="E243" s="6" t="s">
        <v>1026</v>
      </c>
      <c r="F243" s="10"/>
      <c r="G243" s="11" t="s">
        <v>864</v>
      </c>
      <c r="H243" s="12">
        <v>10</v>
      </c>
      <c r="I243" s="13" t="s">
        <v>41</v>
      </c>
      <c r="J243" s="13"/>
      <c r="K243" s="13"/>
      <c r="L243" s="4">
        <v>7</v>
      </c>
      <c r="M243" s="14">
        <f>99*(1-P3/100)</f>
        <v>99</v>
      </c>
      <c r="N243" s="15"/>
      <c r="O243" s="13">
        <f>M243*N243</f>
        <v>0</v>
      </c>
      <c r="P243" s="36">
        <f>0.1*N243</f>
        <v>0</v>
      </c>
      <c r="Q243" s="23">
        <f>0.00014*N243</f>
        <v>0</v>
      </c>
      <c r="R243" s="24"/>
      <c r="S243" s="25" t="s">
        <v>1027</v>
      </c>
      <c r="T243" s="25" t="s">
        <v>94</v>
      </c>
      <c r="U243" s="5"/>
      <c r="V243" s="5" t="s">
        <v>1028</v>
      </c>
      <c r="W243" s="5" t="s">
        <v>46</v>
      </c>
      <c r="X243" s="5" t="s">
        <v>768</v>
      </c>
      <c r="Y243" s="5"/>
      <c r="Z243" s="5" t="str">
        <f>HYPERLINK("https://knigipp.ru/api/getInfo/image/d5084d1b-6bfc-11ee-a247-00155d82e902")</f>
        <v>https://knigipp.ru/api/getInfo/image/d5084d1b-6bfc-11ee-a247-00155d82e902</v>
      </c>
      <c r="AA243" s="33">
        <v>80</v>
      </c>
      <c r="AB243" s="5" t="s">
        <v>598</v>
      </c>
      <c r="AC243" s="5" t="s">
        <v>96</v>
      </c>
      <c r="AD243" s="5"/>
      <c r="AE243" s="5" t="s">
        <v>49</v>
      </c>
      <c r="AF243" s="5"/>
      <c r="AG243" s="5"/>
      <c r="AH243" s="5" t="s">
        <v>762</v>
      </c>
    </row>
    <row r="244" spans="2:34" ht="22.95" customHeight="1" outlineLevel="4" x14ac:dyDescent="0.2">
      <c r="B244" s="75" t="s">
        <v>1029</v>
      </c>
      <c r="C244" s="75"/>
      <c r="D244" s="75"/>
    </row>
    <row r="245" spans="2:34" ht="21" customHeight="1" outlineLevel="5" x14ac:dyDescent="0.2">
      <c r="B245" s="4">
        <v>160</v>
      </c>
      <c r="C245" s="5" t="s">
        <v>1030</v>
      </c>
      <c r="D245" s="5" t="s">
        <v>1031</v>
      </c>
      <c r="E245" s="6" t="s">
        <v>1032</v>
      </c>
      <c r="F245" s="10"/>
      <c r="G245" s="11" t="s">
        <v>1033</v>
      </c>
      <c r="H245" s="12">
        <v>10</v>
      </c>
      <c r="I245" s="13" t="s">
        <v>41</v>
      </c>
      <c r="J245" s="13"/>
      <c r="K245" s="13"/>
      <c r="L245" s="4">
        <v>3</v>
      </c>
      <c r="M245" s="14">
        <f>187*(1-P3/100)</f>
        <v>187</v>
      </c>
      <c r="N245" s="15"/>
      <c r="O245" s="13">
        <f>M245*N245</f>
        <v>0</v>
      </c>
      <c r="P245" s="22">
        <f>0.062*N245</f>
        <v>0</v>
      </c>
      <c r="Q245" s="23">
        <f>0.00022*N245</f>
        <v>0</v>
      </c>
      <c r="R245" s="24"/>
      <c r="S245" s="25" t="s">
        <v>1034</v>
      </c>
      <c r="T245" s="25" t="s">
        <v>94</v>
      </c>
      <c r="U245" s="5"/>
      <c r="V245" s="5" t="s">
        <v>1035</v>
      </c>
      <c r="W245" s="5" t="s">
        <v>46</v>
      </c>
      <c r="X245" s="5" t="s">
        <v>1036</v>
      </c>
      <c r="Y245" s="5"/>
      <c r="Z245" s="5" t="str">
        <f>HYPERLINK("https://knigipp.ru/api/getInfo/image/42ae8324-a3e3-11ee-a258-00155d82e908")</f>
        <v>https://knigipp.ru/api/getInfo/image/42ae8324-a3e3-11ee-a258-00155d82e908</v>
      </c>
      <c r="AA245" s="33">
        <v>96</v>
      </c>
      <c r="AB245" s="5" t="s">
        <v>598</v>
      </c>
      <c r="AC245" s="5" t="s">
        <v>96</v>
      </c>
      <c r="AD245" s="5"/>
      <c r="AE245" s="5" t="s">
        <v>49</v>
      </c>
      <c r="AF245" s="5"/>
      <c r="AG245" s="5"/>
      <c r="AH245" s="5" t="s">
        <v>1037</v>
      </c>
    </row>
    <row r="246" spans="2:34" ht="21" customHeight="1" outlineLevel="5" x14ac:dyDescent="0.2">
      <c r="B246" s="4">
        <v>161</v>
      </c>
      <c r="C246" s="5" t="s">
        <v>1038</v>
      </c>
      <c r="D246" s="5" t="s">
        <v>1039</v>
      </c>
      <c r="E246" s="6" t="s">
        <v>1040</v>
      </c>
      <c r="F246" s="10"/>
      <c r="G246" s="11" t="s">
        <v>1033</v>
      </c>
      <c r="H246" s="12">
        <v>10</v>
      </c>
      <c r="I246" s="13" t="s">
        <v>41</v>
      </c>
      <c r="J246" s="13"/>
      <c r="K246" s="13"/>
      <c r="L246" s="4">
        <v>3</v>
      </c>
      <c r="M246" s="14">
        <f>187*(1-P3/100)</f>
        <v>187</v>
      </c>
      <c r="N246" s="15"/>
      <c r="O246" s="13">
        <f>M246*N246</f>
        <v>0</v>
      </c>
      <c r="P246" s="22">
        <f>0.193*N246</f>
        <v>0</v>
      </c>
      <c r="Q246" s="23">
        <f>0.00058*N246</f>
        <v>0</v>
      </c>
      <c r="R246" s="24"/>
      <c r="S246" s="25" t="s">
        <v>1041</v>
      </c>
      <c r="T246" s="25" t="s">
        <v>94</v>
      </c>
      <c r="U246" s="5"/>
      <c r="V246" s="5" t="s">
        <v>1042</v>
      </c>
      <c r="W246" s="5" t="s">
        <v>46</v>
      </c>
      <c r="X246" s="5" t="s">
        <v>1036</v>
      </c>
      <c r="Y246" s="5"/>
      <c r="Z246" s="5" t="str">
        <f>HYPERLINK("https://knigipp.ru/api/getInfo/image/11f45f4c-a3e3-11ee-a258-00155d82e908")</f>
        <v>https://knigipp.ru/api/getInfo/image/11f45f4c-a3e3-11ee-a258-00155d82e908</v>
      </c>
      <c r="AA246" s="33">
        <v>96</v>
      </c>
      <c r="AB246" s="5" t="s">
        <v>598</v>
      </c>
      <c r="AC246" s="5" t="s">
        <v>96</v>
      </c>
      <c r="AD246" s="5"/>
      <c r="AE246" s="5" t="s">
        <v>49</v>
      </c>
      <c r="AF246" s="5"/>
      <c r="AG246" s="5"/>
      <c r="AH246" s="5" t="s">
        <v>1037</v>
      </c>
    </row>
    <row r="247" spans="2:34" ht="21" customHeight="1" outlineLevel="5" x14ac:dyDescent="0.2">
      <c r="B247" s="4">
        <v>162</v>
      </c>
      <c r="C247" s="5" t="s">
        <v>1043</v>
      </c>
      <c r="D247" s="5" t="s">
        <v>1044</v>
      </c>
      <c r="E247" s="6" t="s">
        <v>1045</v>
      </c>
      <c r="F247" s="10"/>
      <c r="G247" s="11" t="s">
        <v>1033</v>
      </c>
      <c r="H247" s="12">
        <v>10</v>
      </c>
      <c r="I247" s="13" t="s">
        <v>41</v>
      </c>
      <c r="J247" s="13"/>
      <c r="K247" s="13"/>
      <c r="L247" s="4">
        <v>3</v>
      </c>
      <c r="M247" s="14">
        <f>187*(1-P3/100)</f>
        <v>187</v>
      </c>
      <c r="N247" s="15"/>
      <c r="O247" s="13">
        <f>M247*N247</f>
        <v>0</v>
      </c>
      <c r="P247" s="22">
        <f>0.191*N247</f>
        <v>0</v>
      </c>
      <c r="Q247" s="23">
        <f>0.00052*N247</f>
        <v>0</v>
      </c>
      <c r="R247" s="24"/>
      <c r="S247" s="25" t="s">
        <v>1046</v>
      </c>
      <c r="T247" s="25" t="s">
        <v>94</v>
      </c>
      <c r="U247" s="5"/>
      <c r="V247" s="5" t="s">
        <v>1047</v>
      </c>
      <c r="W247" s="5" t="s">
        <v>46</v>
      </c>
      <c r="X247" s="5" t="s">
        <v>1048</v>
      </c>
      <c r="Y247" s="5"/>
      <c r="Z247" s="5" t="str">
        <f>HYPERLINK("https://knigipp.ru/api/getInfo/image/81dceebf-a3e3-11ee-a258-00155d82e908")</f>
        <v>https://knigipp.ru/api/getInfo/image/81dceebf-a3e3-11ee-a258-00155d82e908</v>
      </c>
      <c r="AA247" s="33">
        <v>96</v>
      </c>
      <c r="AB247" s="5" t="s">
        <v>598</v>
      </c>
      <c r="AC247" s="5" t="s">
        <v>96</v>
      </c>
      <c r="AD247" s="5"/>
      <c r="AE247" s="5" t="s">
        <v>49</v>
      </c>
      <c r="AF247" s="5"/>
      <c r="AG247" s="5"/>
      <c r="AH247" s="5" t="s">
        <v>1037</v>
      </c>
    </row>
    <row r="248" spans="2:34" ht="21" customHeight="1" outlineLevel="5" x14ac:dyDescent="0.2">
      <c r="B248" s="4">
        <v>163</v>
      </c>
      <c r="C248" s="5" t="s">
        <v>1049</v>
      </c>
      <c r="D248" s="5" t="s">
        <v>1050</v>
      </c>
      <c r="E248" s="6" t="s">
        <v>1051</v>
      </c>
      <c r="F248" s="10"/>
      <c r="G248" s="11" t="s">
        <v>1033</v>
      </c>
      <c r="H248" s="12">
        <v>10</v>
      </c>
      <c r="I248" s="13" t="s">
        <v>41</v>
      </c>
      <c r="J248" s="13"/>
      <c r="K248" s="13"/>
      <c r="L248" s="4">
        <v>3</v>
      </c>
      <c r="M248" s="14">
        <f>187*(1-P3/100)</f>
        <v>187</v>
      </c>
      <c r="N248" s="15"/>
      <c r="O248" s="13">
        <f>M248*N248</f>
        <v>0</v>
      </c>
      <c r="P248" s="32">
        <f>0.19*N248</f>
        <v>0</v>
      </c>
      <c r="Q248" s="23">
        <f>0.00044*N248</f>
        <v>0</v>
      </c>
      <c r="R248" s="24"/>
      <c r="S248" s="25" t="s">
        <v>1052</v>
      </c>
      <c r="T248" s="25" t="s">
        <v>94</v>
      </c>
      <c r="U248" s="5"/>
      <c r="V248" s="5" t="s">
        <v>1053</v>
      </c>
      <c r="W248" s="5" t="s">
        <v>46</v>
      </c>
      <c r="X248" s="5" t="s">
        <v>1048</v>
      </c>
      <c r="Y248" s="5"/>
      <c r="Z248" s="5" t="str">
        <f>HYPERLINK("https://knigipp.ru/api/getInfo/image/608f076a-a3e3-11ee-a258-00155d82e908")</f>
        <v>https://knigipp.ru/api/getInfo/image/608f076a-a3e3-11ee-a258-00155d82e908</v>
      </c>
      <c r="AA248" s="33">
        <v>96</v>
      </c>
      <c r="AB248" s="5" t="s">
        <v>598</v>
      </c>
      <c r="AC248" s="5" t="s">
        <v>96</v>
      </c>
      <c r="AD248" s="5"/>
      <c r="AE248" s="5" t="s">
        <v>49</v>
      </c>
      <c r="AF248" s="5"/>
      <c r="AG248" s="5"/>
      <c r="AH248" s="5" t="s">
        <v>1037</v>
      </c>
    </row>
    <row r="249" spans="2:34" ht="22.95" customHeight="1" outlineLevel="4" x14ac:dyDescent="0.2">
      <c r="B249" s="75" t="s">
        <v>1054</v>
      </c>
      <c r="C249" s="75"/>
      <c r="D249" s="75"/>
    </row>
    <row r="250" spans="2:34" ht="21" customHeight="1" outlineLevel="5" x14ac:dyDescent="0.2">
      <c r="B250" s="4">
        <v>164</v>
      </c>
      <c r="C250" s="5" t="s">
        <v>1055</v>
      </c>
      <c r="D250" s="5" t="s">
        <v>1056</v>
      </c>
      <c r="E250" s="6" t="s">
        <v>1057</v>
      </c>
      <c r="F250" s="10"/>
      <c r="G250" s="11" t="s">
        <v>1058</v>
      </c>
      <c r="H250" s="12">
        <v>10</v>
      </c>
      <c r="I250" s="13" t="s">
        <v>41</v>
      </c>
      <c r="J250" s="13"/>
      <c r="K250" s="13"/>
      <c r="L250" s="4">
        <v>7</v>
      </c>
      <c r="M250" s="14">
        <f>99*(1-P3/100)</f>
        <v>99</v>
      </c>
      <c r="N250" s="15"/>
      <c r="O250" s="13">
        <f>M250*N250</f>
        <v>0</v>
      </c>
      <c r="P250" s="32">
        <f>0.12*N250</f>
        <v>0</v>
      </c>
      <c r="Q250" s="30">
        <f>0.0002*N250</f>
        <v>0</v>
      </c>
      <c r="R250" s="24"/>
      <c r="S250" s="25" t="s">
        <v>1059</v>
      </c>
      <c r="T250" s="25" t="s">
        <v>94</v>
      </c>
      <c r="U250" s="5"/>
      <c r="V250" s="5"/>
      <c r="W250" s="5" t="s">
        <v>46</v>
      </c>
      <c r="X250" s="5"/>
      <c r="Y250" s="5"/>
      <c r="Z250" s="5" t="str">
        <f>HYPERLINK("https://knigipp.ru/api/getInfo/image/224feaf2-d200-11ed-a230-00155d82e902")</f>
        <v>https://knigipp.ru/api/getInfo/image/224feaf2-d200-11ed-a230-00155d82e902</v>
      </c>
      <c r="AA250" s="33">
        <v>80</v>
      </c>
      <c r="AB250" s="5" t="s">
        <v>574</v>
      </c>
      <c r="AC250" s="5" t="s">
        <v>96</v>
      </c>
      <c r="AD250" s="5"/>
      <c r="AE250" s="5" t="s">
        <v>49</v>
      </c>
      <c r="AF250" s="5"/>
      <c r="AG250" s="5"/>
      <c r="AH250" s="5" t="s">
        <v>740</v>
      </c>
    </row>
    <row r="251" spans="2:34" ht="21" customHeight="1" outlineLevel="5" x14ac:dyDescent="0.2">
      <c r="B251" s="4">
        <v>165</v>
      </c>
      <c r="C251" s="5" t="s">
        <v>1060</v>
      </c>
      <c r="D251" s="5" t="s">
        <v>1061</v>
      </c>
      <c r="E251" s="6" t="s">
        <v>1062</v>
      </c>
      <c r="F251" s="10"/>
      <c r="G251" s="11" t="s">
        <v>1058</v>
      </c>
      <c r="H251" s="12">
        <v>10</v>
      </c>
      <c r="I251" s="13" t="s">
        <v>41</v>
      </c>
      <c r="J251" s="13"/>
      <c r="K251" s="13"/>
      <c r="L251" s="4">
        <v>7</v>
      </c>
      <c r="M251" s="14">
        <f>99*(1-P3/100)</f>
        <v>99</v>
      </c>
      <c r="N251" s="15"/>
      <c r="O251" s="13">
        <f>M251*N251</f>
        <v>0</v>
      </c>
      <c r="P251" s="32">
        <f>0.12*N251</f>
        <v>0</v>
      </c>
      <c r="Q251" s="30">
        <f>0.0002*N251</f>
        <v>0</v>
      </c>
      <c r="R251" s="24"/>
      <c r="S251" s="25" t="s">
        <v>1063</v>
      </c>
      <c r="T251" s="25" t="s">
        <v>94</v>
      </c>
      <c r="U251" s="5"/>
      <c r="V251" s="5"/>
      <c r="W251" s="5" t="s">
        <v>46</v>
      </c>
      <c r="X251" s="5"/>
      <c r="Y251" s="5"/>
      <c r="Z251" s="5" t="str">
        <f>HYPERLINK("https://knigipp.ru/api/getInfo/image/6247c798-d200-11ed-a230-00155d82e902")</f>
        <v>https://knigipp.ru/api/getInfo/image/6247c798-d200-11ed-a230-00155d82e902</v>
      </c>
      <c r="AA251" s="33">
        <v>80</v>
      </c>
      <c r="AB251" s="5" t="s">
        <v>574</v>
      </c>
      <c r="AC251" s="5" t="s">
        <v>96</v>
      </c>
      <c r="AD251" s="5"/>
      <c r="AE251" s="5" t="s">
        <v>49</v>
      </c>
      <c r="AF251" s="5"/>
      <c r="AG251" s="5"/>
      <c r="AH251" s="5" t="s">
        <v>740</v>
      </c>
    </row>
    <row r="252" spans="2:34" ht="21" customHeight="1" outlineLevel="5" x14ac:dyDescent="0.2">
      <c r="B252" s="4">
        <v>166</v>
      </c>
      <c r="C252" s="5" t="s">
        <v>1064</v>
      </c>
      <c r="D252" s="5" t="s">
        <v>1065</v>
      </c>
      <c r="E252" s="6" t="s">
        <v>1066</v>
      </c>
      <c r="F252" s="10"/>
      <c r="G252" s="11" t="s">
        <v>1058</v>
      </c>
      <c r="H252" s="12">
        <v>10</v>
      </c>
      <c r="I252" s="13" t="s">
        <v>41</v>
      </c>
      <c r="J252" s="13"/>
      <c r="K252" s="13"/>
      <c r="L252" s="4">
        <v>7</v>
      </c>
      <c r="M252" s="14">
        <f>99*(1-P3/100)</f>
        <v>99</v>
      </c>
      <c r="N252" s="15"/>
      <c r="O252" s="13">
        <f>M252*N252</f>
        <v>0</v>
      </c>
      <c r="P252" s="32">
        <f>0.12*N252</f>
        <v>0</v>
      </c>
      <c r="Q252" s="30">
        <f>0.0002*N252</f>
        <v>0</v>
      </c>
      <c r="R252" s="24"/>
      <c r="S252" s="25" t="s">
        <v>1067</v>
      </c>
      <c r="T252" s="25" t="s">
        <v>94</v>
      </c>
      <c r="U252" s="5"/>
      <c r="V252" s="5"/>
      <c r="W252" s="5" t="s">
        <v>46</v>
      </c>
      <c r="X252" s="5"/>
      <c r="Y252" s="5"/>
      <c r="Z252" s="5" t="str">
        <f>HYPERLINK("https://knigipp.ru/api/getInfo/image/96ae6355-d200-11ed-a230-00155d82e902")</f>
        <v>https://knigipp.ru/api/getInfo/image/96ae6355-d200-11ed-a230-00155d82e902</v>
      </c>
      <c r="AA252" s="33">
        <v>80</v>
      </c>
      <c r="AB252" s="5" t="s">
        <v>574</v>
      </c>
      <c r="AC252" s="5" t="s">
        <v>96</v>
      </c>
      <c r="AD252" s="5"/>
      <c r="AE252" s="5" t="s">
        <v>49</v>
      </c>
      <c r="AF252" s="5"/>
      <c r="AG252" s="5"/>
      <c r="AH252" s="5" t="s">
        <v>740</v>
      </c>
    </row>
    <row r="253" spans="2:34" ht="21" customHeight="1" outlineLevel="5" x14ac:dyDescent="0.2">
      <c r="B253" s="4">
        <v>167</v>
      </c>
      <c r="C253" s="5" t="s">
        <v>1068</v>
      </c>
      <c r="D253" s="5" t="s">
        <v>1069</v>
      </c>
      <c r="E253" s="6" t="s">
        <v>1070</v>
      </c>
      <c r="F253" s="10"/>
      <c r="G253" s="11" t="s">
        <v>1058</v>
      </c>
      <c r="H253" s="12">
        <v>10</v>
      </c>
      <c r="I253" s="13" t="s">
        <v>41</v>
      </c>
      <c r="J253" s="13"/>
      <c r="K253" s="13"/>
      <c r="L253" s="4">
        <v>7</v>
      </c>
      <c r="M253" s="14">
        <f>99*(1-P3/100)</f>
        <v>99</v>
      </c>
      <c r="N253" s="15"/>
      <c r="O253" s="13">
        <f>M253*N253</f>
        <v>0</v>
      </c>
      <c r="P253" s="32">
        <f>0.12*N253</f>
        <v>0</v>
      </c>
      <c r="Q253" s="30">
        <f>0.0002*N253</f>
        <v>0</v>
      </c>
      <c r="R253" s="24"/>
      <c r="S253" s="25" t="s">
        <v>1071</v>
      </c>
      <c r="T253" s="25" t="s">
        <v>94</v>
      </c>
      <c r="U253" s="5"/>
      <c r="V253" s="5"/>
      <c r="W253" s="5" t="s">
        <v>46</v>
      </c>
      <c r="X253" s="5"/>
      <c r="Y253" s="5"/>
      <c r="Z253" s="5" t="str">
        <f>HYPERLINK("https://knigipp.ru/api/getInfo/image/c57c923b-d200-11ed-a230-00155d82e902")</f>
        <v>https://knigipp.ru/api/getInfo/image/c57c923b-d200-11ed-a230-00155d82e902</v>
      </c>
      <c r="AA253" s="33">
        <v>80</v>
      </c>
      <c r="AB253" s="5" t="s">
        <v>574</v>
      </c>
      <c r="AC253" s="5" t="s">
        <v>96</v>
      </c>
      <c r="AD253" s="5"/>
      <c r="AE253" s="5" t="s">
        <v>49</v>
      </c>
      <c r="AF253" s="5"/>
      <c r="AG253" s="5"/>
      <c r="AH253" s="5" t="s">
        <v>740</v>
      </c>
    </row>
    <row r="254" spans="2:34" ht="22.95" customHeight="1" outlineLevel="4" x14ac:dyDescent="0.2">
      <c r="B254" s="75" t="s">
        <v>1072</v>
      </c>
      <c r="C254" s="75"/>
      <c r="D254" s="75"/>
    </row>
    <row r="255" spans="2:34" ht="21" customHeight="1" outlineLevel="5" x14ac:dyDescent="0.2">
      <c r="B255" s="4">
        <v>168</v>
      </c>
      <c r="C255" s="5" t="s">
        <v>1073</v>
      </c>
      <c r="D255" s="5" t="s">
        <v>1074</v>
      </c>
      <c r="E255" s="6" t="s">
        <v>1075</v>
      </c>
      <c r="F255" s="10"/>
      <c r="G255" s="11" t="s">
        <v>1076</v>
      </c>
      <c r="H255" s="12">
        <v>20</v>
      </c>
      <c r="I255" s="13" t="s">
        <v>41</v>
      </c>
      <c r="J255" s="13"/>
      <c r="K255" s="13"/>
      <c r="L255" s="4">
        <v>3</v>
      </c>
      <c r="M255" s="14">
        <f>197*(1-P3/100)</f>
        <v>197</v>
      </c>
      <c r="N255" s="15"/>
      <c r="O255" s="13">
        <f>M255*N255</f>
        <v>0</v>
      </c>
      <c r="P255" s="13">
        <v>0</v>
      </c>
      <c r="Q255" s="13">
        <v>0</v>
      </c>
      <c r="R255" s="24"/>
      <c r="S255" s="25" t="s">
        <v>1077</v>
      </c>
      <c r="T255" s="25" t="s">
        <v>94</v>
      </c>
      <c r="U255" s="5"/>
      <c r="V255" s="5" t="s">
        <v>1078</v>
      </c>
      <c r="W255" s="5" t="s">
        <v>46</v>
      </c>
      <c r="X255" s="5" t="s">
        <v>1079</v>
      </c>
      <c r="Y255" s="5"/>
      <c r="Z255" s="5" t="str">
        <f>HYPERLINK("https://knigipp.ru/api/getInfo/image/2ce51b37-a3ee-11ee-a258-00155d82e908")</f>
        <v>https://knigipp.ru/api/getInfo/image/2ce51b37-a3ee-11ee-a258-00155d82e908</v>
      </c>
      <c r="AA255" s="33">
        <v>96</v>
      </c>
      <c r="AB255" s="5" t="s">
        <v>598</v>
      </c>
      <c r="AC255" s="5" t="s">
        <v>219</v>
      </c>
      <c r="AD255" s="5"/>
      <c r="AE255" s="5" t="s">
        <v>49</v>
      </c>
      <c r="AF255" s="5"/>
      <c r="AG255" s="5"/>
      <c r="AH255" s="5" t="s">
        <v>1080</v>
      </c>
    </row>
    <row r="256" spans="2:34" ht="21" customHeight="1" outlineLevel="5" x14ac:dyDescent="0.2">
      <c r="B256" s="4">
        <v>169</v>
      </c>
      <c r="C256" s="5" t="s">
        <v>1081</v>
      </c>
      <c r="D256" s="5" t="s">
        <v>1082</v>
      </c>
      <c r="E256" s="6" t="s">
        <v>1083</v>
      </c>
      <c r="F256" s="10"/>
      <c r="G256" s="11" t="s">
        <v>1076</v>
      </c>
      <c r="H256" s="12">
        <v>20</v>
      </c>
      <c r="I256" s="13" t="s">
        <v>41</v>
      </c>
      <c r="J256" s="13"/>
      <c r="K256" s="13"/>
      <c r="L256" s="4">
        <v>3</v>
      </c>
      <c r="M256" s="14">
        <f>197*(1-P3/100)</f>
        <v>197</v>
      </c>
      <c r="N256" s="15"/>
      <c r="O256" s="13">
        <f>M256*N256</f>
        <v>0</v>
      </c>
      <c r="P256" s="13">
        <v>0</v>
      </c>
      <c r="Q256" s="13">
        <v>0</v>
      </c>
      <c r="R256" s="24"/>
      <c r="S256" s="25" t="s">
        <v>1084</v>
      </c>
      <c r="T256" s="25" t="s">
        <v>94</v>
      </c>
      <c r="U256" s="5"/>
      <c r="V256" s="5" t="s">
        <v>1085</v>
      </c>
      <c r="W256" s="5" t="s">
        <v>46</v>
      </c>
      <c r="X256" s="5" t="s">
        <v>1079</v>
      </c>
      <c r="Y256" s="5"/>
      <c r="Z256" s="5" t="str">
        <f>HYPERLINK("https://knigipp.ru/api/getInfo/image/5fb52fe8-a3ee-11ee-a258-00155d82e908")</f>
        <v>https://knigipp.ru/api/getInfo/image/5fb52fe8-a3ee-11ee-a258-00155d82e908</v>
      </c>
      <c r="AA256" s="33">
        <v>96</v>
      </c>
      <c r="AB256" s="5" t="s">
        <v>598</v>
      </c>
      <c r="AC256" s="5" t="s">
        <v>219</v>
      </c>
      <c r="AD256" s="5"/>
      <c r="AE256" s="5" t="s">
        <v>49</v>
      </c>
      <c r="AF256" s="5"/>
      <c r="AG256" s="5"/>
      <c r="AH256" s="5" t="s">
        <v>1080</v>
      </c>
    </row>
    <row r="257" spans="2:34" ht="21" customHeight="1" outlineLevel="5" x14ac:dyDescent="0.2">
      <c r="B257" s="4">
        <v>170</v>
      </c>
      <c r="C257" s="5" t="s">
        <v>1086</v>
      </c>
      <c r="D257" s="5" t="s">
        <v>1087</v>
      </c>
      <c r="E257" s="6" t="s">
        <v>1088</v>
      </c>
      <c r="F257" s="10"/>
      <c r="G257" s="11" t="s">
        <v>1076</v>
      </c>
      <c r="H257" s="12">
        <v>20</v>
      </c>
      <c r="I257" s="13" t="s">
        <v>41</v>
      </c>
      <c r="J257" s="13"/>
      <c r="K257" s="13"/>
      <c r="L257" s="4">
        <v>3</v>
      </c>
      <c r="M257" s="14">
        <f>197*(1-P3/100)</f>
        <v>197</v>
      </c>
      <c r="N257" s="15"/>
      <c r="O257" s="13">
        <f>M257*N257</f>
        <v>0</v>
      </c>
      <c r="P257" s="13">
        <v>0</v>
      </c>
      <c r="Q257" s="13">
        <v>0</v>
      </c>
      <c r="R257" s="24"/>
      <c r="S257" s="25" t="s">
        <v>1089</v>
      </c>
      <c r="T257" s="25" t="s">
        <v>94</v>
      </c>
      <c r="U257" s="5"/>
      <c r="V257" s="5" t="s">
        <v>1090</v>
      </c>
      <c r="W257" s="5" t="s">
        <v>46</v>
      </c>
      <c r="X257" s="5" t="s">
        <v>1079</v>
      </c>
      <c r="Y257" s="5"/>
      <c r="Z257" s="5" t="str">
        <f>HYPERLINK("https://knigipp.ru/api/getInfo/image/c788292b-a3ee-11ee-a258-00155d82e908")</f>
        <v>https://knigipp.ru/api/getInfo/image/c788292b-a3ee-11ee-a258-00155d82e908</v>
      </c>
      <c r="AA257" s="33">
        <v>96</v>
      </c>
      <c r="AB257" s="5" t="s">
        <v>598</v>
      </c>
      <c r="AC257" s="5" t="s">
        <v>219</v>
      </c>
      <c r="AD257" s="5"/>
      <c r="AE257" s="5" t="s">
        <v>49</v>
      </c>
      <c r="AF257" s="5"/>
      <c r="AG257" s="5"/>
      <c r="AH257" s="5" t="s">
        <v>1080</v>
      </c>
    </row>
    <row r="258" spans="2:34" ht="21" customHeight="1" outlineLevel="5" x14ac:dyDescent="0.2">
      <c r="B258" s="4">
        <v>171</v>
      </c>
      <c r="C258" s="5" t="s">
        <v>1091</v>
      </c>
      <c r="D258" s="5" t="s">
        <v>1092</v>
      </c>
      <c r="E258" s="6" t="s">
        <v>1093</v>
      </c>
      <c r="F258" s="10"/>
      <c r="G258" s="11" t="s">
        <v>1076</v>
      </c>
      <c r="H258" s="12">
        <v>20</v>
      </c>
      <c r="I258" s="13" t="s">
        <v>41</v>
      </c>
      <c r="J258" s="13"/>
      <c r="K258" s="13"/>
      <c r="L258" s="4">
        <v>3</v>
      </c>
      <c r="M258" s="14">
        <f>197*(1-P3/100)</f>
        <v>197</v>
      </c>
      <c r="N258" s="15"/>
      <c r="O258" s="13">
        <f>M258*N258</f>
        <v>0</v>
      </c>
      <c r="P258" s="22">
        <f>0.092*N258</f>
        <v>0</v>
      </c>
      <c r="Q258" s="23">
        <f>0.00015*N258</f>
        <v>0</v>
      </c>
      <c r="R258" s="24"/>
      <c r="S258" s="25" t="s">
        <v>1094</v>
      </c>
      <c r="T258" s="25" t="s">
        <v>94</v>
      </c>
      <c r="U258" s="5"/>
      <c r="V258" s="5" t="s">
        <v>1095</v>
      </c>
      <c r="W258" s="5" t="s">
        <v>46</v>
      </c>
      <c r="X258" s="5" t="s">
        <v>1079</v>
      </c>
      <c r="Y258" s="5"/>
      <c r="Z258" s="5" t="str">
        <f>HYPERLINK("https://knigipp.ru/api/getInfo/image/fc4d0b2b-a3ee-11ee-a258-00155d82e908")</f>
        <v>https://knigipp.ru/api/getInfo/image/fc4d0b2b-a3ee-11ee-a258-00155d82e908</v>
      </c>
      <c r="AA258" s="33">
        <v>96</v>
      </c>
      <c r="AB258" s="5" t="s">
        <v>598</v>
      </c>
      <c r="AC258" s="5" t="s">
        <v>219</v>
      </c>
      <c r="AD258" s="5"/>
      <c r="AE258" s="5" t="s">
        <v>49</v>
      </c>
      <c r="AF258" s="5"/>
      <c r="AG258" s="5"/>
      <c r="AH258" s="5" t="s">
        <v>1080</v>
      </c>
    </row>
    <row r="259" spans="2:34" ht="22.95" customHeight="1" outlineLevel="4" x14ac:dyDescent="0.2">
      <c r="B259" s="75" t="s">
        <v>1096</v>
      </c>
      <c r="C259" s="75"/>
      <c r="D259" s="75"/>
    </row>
    <row r="260" spans="2:34" ht="21" customHeight="1" outlineLevel="5" x14ac:dyDescent="0.2">
      <c r="B260" s="4">
        <v>172</v>
      </c>
      <c r="C260" s="5" t="s">
        <v>1097</v>
      </c>
      <c r="D260" s="5" t="s">
        <v>1098</v>
      </c>
      <c r="E260" s="6" t="s">
        <v>1099</v>
      </c>
      <c r="F260" s="10"/>
      <c r="G260" s="11" t="s">
        <v>1100</v>
      </c>
      <c r="H260" s="12">
        <v>20</v>
      </c>
      <c r="I260" s="13" t="s">
        <v>41</v>
      </c>
      <c r="J260" s="13"/>
      <c r="K260" s="13"/>
      <c r="L260" s="4">
        <v>10</v>
      </c>
      <c r="M260" s="14">
        <f>67*(1-P3/100)</f>
        <v>67</v>
      </c>
      <c r="N260" s="15"/>
      <c r="O260" s="13">
        <f>M260*N260</f>
        <v>0</v>
      </c>
      <c r="P260" s="22">
        <f>0.051*N260</f>
        <v>0</v>
      </c>
      <c r="Q260" s="23">
        <f>0.00009*N260</f>
        <v>0</v>
      </c>
      <c r="R260" s="24"/>
      <c r="S260" s="25" t="s">
        <v>1101</v>
      </c>
      <c r="T260" s="25" t="s">
        <v>94</v>
      </c>
      <c r="U260" s="5"/>
      <c r="V260" s="5" t="s">
        <v>1102</v>
      </c>
      <c r="W260" s="5" t="s">
        <v>46</v>
      </c>
      <c r="X260" s="5" t="s">
        <v>922</v>
      </c>
      <c r="Y260" s="5"/>
      <c r="Z260" s="5" t="str">
        <f>HYPERLINK("https://knigipp.ru/api/getInfo/image/d20dd7d3-902c-11ee-a250-00155d82e908")</f>
        <v>https://knigipp.ru/api/getInfo/image/d20dd7d3-902c-11ee-a250-00155d82e908</v>
      </c>
      <c r="AA260" s="33">
        <v>64</v>
      </c>
      <c r="AB260" s="5" t="s">
        <v>574</v>
      </c>
      <c r="AC260" s="5" t="s">
        <v>96</v>
      </c>
      <c r="AD260" s="5"/>
      <c r="AE260" s="5" t="s">
        <v>49</v>
      </c>
      <c r="AF260" s="5"/>
      <c r="AG260" s="5"/>
      <c r="AH260" s="5" t="s">
        <v>923</v>
      </c>
    </row>
    <row r="261" spans="2:34" ht="21" customHeight="1" outlineLevel="5" x14ac:dyDescent="0.2">
      <c r="B261" s="4">
        <v>173</v>
      </c>
      <c r="C261" s="5" t="s">
        <v>1103</v>
      </c>
      <c r="D261" s="5" t="s">
        <v>1104</v>
      </c>
      <c r="E261" s="6" t="s">
        <v>1105</v>
      </c>
      <c r="F261" s="10"/>
      <c r="G261" s="11" t="s">
        <v>1100</v>
      </c>
      <c r="H261" s="12">
        <v>20</v>
      </c>
      <c r="I261" s="13" t="s">
        <v>41</v>
      </c>
      <c r="J261" s="13"/>
      <c r="K261" s="13"/>
      <c r="L261" s="4">
        <v>10</v>
      </c>
      <c r="M261" s="14">
        <f>67*(1-P3/100)</f>
        <v>67</v>
      </c>
      <c r="N261" s="15"/>
      <c r="O261" s="13">
        <f>M261*N261</f>
        <v>0</v>
      </c>
      <c r="P261" s="22">
        <f>0.051*N261</f>
        <v>0</v>
      </c>
      <c r="Q261" s="23">
        <f>0.00009*N261</f>
        <v>0</v>
      </c>
      <c r="R261" s="24"/>
      <c r="S261" s="25" t="s">
        <v>1106</v>
      </c>
      <c r="T261" s="25" t="s">
        <v>94</v>
      </c>
      <c r="U261" s="5"/>
      <c r="V261" s="5" t="s">
        <v>1107</v>
      </c>
      <c r="W261" s="5" t="s">
        <v>46</v>
      </c>
      <c r="X261" s="5" t="s">
        <v>922</v>
      </c>
      <c r="Y261" s="5"/>
      <c r="Z261" s="5" t="str">
        <f>HYPERLINK("https://knigipp.ru/api/getInfo/image/799d65c2-902c-11ee-a250-00155d82e908")</f>
        <v>https://knigipp.ru/api/getInfo/image/799d65c2-902c-11ee-a250-00155d82e908</v>
      </c>
      <c r="AA261" s="33">
        <v>64</v>
      </c>
      <c r="AB261" s="5" t="s">
        <v>574</v>
      </c>
      <c r="AC261" s="5" t="s">
        <v>96</v>
      </c>
      <c r="AD261" s="5"/>
      <c r="AE261" s="5" t="s">
        <v>49</v>
      </c>
      <c r="AF261" s="5"/>
      <c r="AG261" s="5"/>
      <c r="AH261" s="5" t="s">
        <v>923</v>
      </c>
    </row>
    <row r="262" spans="2:34" ht="21" customHeight="1" outlineLevel="5" x14ac:dyDescent="0.2">
      <c r="B262" s="4">
        <v>174</v>
      </c>
      <c r="C262" s="5" t="s">
        <v>1108</v>
      </c>
      <c r="D262" s="5" t="s">
        <v>1109</v>
      </c>
      <c r="E262" s="6" t="s">
        <v>1110</v>
      </c>
      <c r="F262" s="10"/>
      <c r="G262" s="11" t="s">
        <v>1100</v>
      </c>
      <c r="H262" s="12">
        <v>20</v>
      </c>
      <c r="I262" s="13" t="s">
        <v>41</v>
      </c>
      <c r="J262" s="13"/>
      <c r="K262" s="13"/>
      <c r="L262" s="4">
        <v>10</v>
      </c>
      <c r="M262" s="14">
        <f>67*(1-P3/100)</f>
        <v>67</v>
      </c>
      <c r="N262" s="15"/>
      <c r="O262" s="13">
        <f>M262*N262</f>
        <v>0</v>
      </c>
      <c r="P262" s="22">
        <f>0.051*N262</f>
        <v>0</v>
      </c>
      <c r="Q262" s="23">
        <f>0.00009*N262</f>
        <v>0</v>
      </c>
      <c r="R262" s="24"/>
      <c r="S262" s="25" t="s">
        <v>1111</v>
      </c>
      <c r="T262" s="25" t="s">
        <v>94</v>
      </c>
      <c r="U262" s="5"/>
      <c r="V262" s="5" t="s">
        <v>1112</v>
      </c>
      <c r="W262" s="5" t="s">
        <v>46</v>
      </c>
      <c r="X262" s="5" t="s">
        <v>922</v>
      </c>
      <c r="Y262" s="5"/>
      <c r="Z262" s="5" t="str">
        <f>HYPERLINK("https://knigipp.ru/api/getInfo/image/178a4fca-902d-11ee-a250-00155d82e908")</f>
        <v>https://knigipp.ru/api/getInfo/image/178a4fca-902d-11ee-a250-00155d82e908</v>
      </c>
      <c r="AA262" s="33">
        <v>64</v>
      </c>
      <c r="AB262" s="5" t="s">
        <v>574</v>
      </c>
      <c r="AC262" s="5" t="s">
        <v>96</v>
      </c>
      <c r="AD262" s="5"/>
      <c r="AE262" s="5" t="s">
        <v>49</v>
      </c>
      <c r="AF262" s="5"/>
      <c r="AG262" s="5"/>
      <c r="AH262" s="5" t="s">
        <v>923</v>
      </c>
    </row>
    <row r="263" spans="2:34" ht="21" customHeight="1" outlineLevel="5" x14ac:dyDescent="0.2">
      <c r="B263" s="4">
        <v>175</v>
      </c>
      <c r="C263" s="5" t="s">
        <v>1113</v>
      </c>
      <c r="D263" s="5" t="s">
        <v>1114</v>
      </c>
      <c r="E263" s="6" t="s">
        <v>1115</v>
      </c>
      <c r="F263" s="10"/>
      <c r="G263" s="11" t="s">
        <v>1100</v>
      </c>
      <c r="H263" s="12">
        <v>20</v>
      </c>
      <c r="I263" s="13" t="s">
        <v>41</v>
      </c>
      <c r="J263" s="13"/>
      <c r="K263" s="13"/>
      <c r="L263" s="4">
        <v>10</v>
      </c>
      <c r="M263" s="14">
        <f>67*(1-P3/100)</f>
        <v>67</v>
      </c>
      <c r="N263" s="15"/>
      <c r="O263" s="13">
        <f>M263*N263</f>
        <v>0</v>
      </c>
      <c r="P263" s="22">
        <f>0.051*N263</f>
        <v>0</v>
      </c>
      <c r="Q263" s="23">
        <f>0.00009*N263</f>
        <v>0</v>
      </c>
      <c r="R263" s="24"/>
      <c r="S263" s="25" t="s">
        <v>1116</v>
      </c>
      <c r="T263" s="25" t="s">
        <v>94</v>
      </c>
      <c r="U263" s="5"/>
      <c r="V263" s="5" t="s">
        <v>1117</v>
      </c>
      <c r="W263" s="5" t="s">
        <v>46</v>
      </c>
      <c r="X263" s="5" t="s">
        <v>922</v>
      </c>
      <c r="Y263" s="5"/>
      <c r="Z263" s="5" t="str">
        <f>HYPERLINK("https://knigipp.ru/api/getInfo/image/6089ae13-902d-11ee-a250-00155d82e908")</f>
        <v>https://knigipp.ru/api/getInfo/image/6089ae13-902d-11ee-a250-00155d82e908</v>
      </c>
      <c r="AA263" s="33">
        <v>64</v>
      </c>
      <c r="AB263" s="5" t="s">
        <v>574</v>
      </c>
      <c r="AC263" s="5" t="s">
        <v>96</v>
      </c>
      <c r="AD263" s="5"/>
      <c r="AE263" s="5" t="s">
        <v>49</v>
      </c>
      <c r="AF263" s="5"/>
      <c r="AG263" s="5"/>
      <c r="AH263" s="5" t="s">
        <v>923</v>
      </c>
    </row>
    <row r="264" spans="2:34" ht="22.95" customHeight="1" outlineLevel="4" x14ac:dyDescent="0.2">
      <c r="B264" s="75" t="s">
        <v>1118</v>
      </c>
      <c r="C264" s="75"/>
      <c r="D264" s="75"/>
    </row>
    <row r="265" spans="2:34" ht="21" customHeight="1" outlineLevel="5" x14ac:dyDescent="0.2">
      <c r="B265" s="4">
        <v>176</v>
      </c>
      <c r="C265" s="5" t="s">
        <v>1119</v>
      </c>
      <c r="D265" s="5" t="s">
        <v>1120</v>
      </c>
      <c r="E265" s="6" t="s">
        <v>1121</v>
      </c>
      <c r="F265" s="10"/>
      <c r="G265" s="11" t="s">
        <v>1122</v>
      </c>
      <c r="H265" s="12">
        <v>20</v>
      </c>
      <c r="I265" s="13" t="s">
        <v>41</v>
      </c>
      <c r="J265" s="13"/>
      <c r="K265" s="13"/>
      <c r="L265" s="4">
        <v>7</v>
      </c>
      <c r="M265" s="14">
        <f>97*(1-P3/100)</f>
        <v>97</v>
      </c>
      <c r="N265" s="15"/>
      <c r="O265" s="13">
        <f>M265*N265</f>
        <v>0</v>
      </c>
      <c r="P265" s="22">
        <f>0.069*N265</f>
        <v>0</v>
      </c>
      <c r="Q265" s="23">
        <f>0.00007*N265</f>
        <v>0</v>
      </c>
      <c r="R265" s="24"/>
      <c r="S265" s="25" t="s">
        <v>1123</v>
      </c>
      <c r="T265" s="25" t="s">
        <v>94</v>
      </c>
      <c r="U265" s="5"/>
      <c r="V265" s="5" t="s">
        <v>1124</v>
      </c>
      <c r="W265" s="5" t="s">
        <v>46</v>
      </c>
      <c r="X265" s="5"/>
      <c r="Y265" s="5"/>
      <c r="Z265" s="5" t="str">
        <f>HYPERLINK("https://knigipp.ru/api/getInfo/image/b91d9fd5-3dcf-11ee-a241-00155d82e902")</f>
        <v>https://knigipp.ru/api/getInfo/image/b91d9fd5-3dcf-11ee-a241-00155d82e902</v>
      </c>
      <c r="AA265" s="33">
        <v>64</v>
      </c>
      <c r="AB265" s="5" t="s">
        <v>574</v>
      </c>
      <c r="AC265" s="5" t="s">
        <v>96</v>
      </c>
      <c r="AD265" s="5"/>
      <c r="AE265" s="5" t="s">
        <v>49</v>
      </c>
      <c r="AF265" s="5"/>
      <c r="AG265" s="5"/>
      <c r="AH265" s="5" t="s">
        <v>1125</v>
      </c>
    </row>
    <row r="266" spans="2:34" ht="21" customHeight="1" outlineLevel="5" x14ac:dyDescent="0.2">
      <c r="B266" s="4">
        <v>177</v>
      </c>
      <c r="C266" s="5" t="s">
        <v>1126</v>
      </c>
      <c r="D266" s="5" t="s">
        <v>1127</v>
      </c>
      <c r="E266" s="6" t="s">
        <v>1128</v>
      </c>
      <c r="F266" s="10"/>
      <c r="G266" s="11" t="s">
        <v>1122</v>
      </c>
      <c r="H266" s="12">
        <v>20</v>
      </c>
      <c r="I266" s="13" t="s">
        <v>41</v>
      </c>
      <c r="J266" s="13"/>
      <c r="K266" s="13"/>
      <c r="L266" s="4">
        <v>7</v>
      </c>
      <c r="M266" s="14">
        <f>97*(1-P3/100)</f>
        <v>97</v>
      </c>
      <c r="N266" s="15"/>
      <c r="O266" s="13">
        <f>M266*N266</f>
        <v>0</v>
      </c>
      <c r="P266" s="22">
        <f>0.049*N266</f>
        <v>0</v>
      </c>
      <c r="Q266" s="23">
        <f>0.00012*N266</f>
        <v>0</v>
      </c>
      <c r="R266" s="24"/>
      <c r="S266" s="25" t="s">
        <v>1129</v>
      </c>
      <c r="T266" s="25" t="s">
        <v>94</v>
      </c>
      <c r="U266" s="5"/>
      <c r="V266" s="5" t="s">
        <v>1130</v>
      </c>
      <c r="W266" s="5" t="s">
        <v>46</v>
      </c>
      <c r="X266" s="5"/>
      <c r="Y266" s="5"/>
      <c r="Z266" s="5" t="str">
        <f>HYPERLINK("https://knigipp.ru/api/getInfo/image/b79dc839-1cbb-11ef-a25e-00155d82e908")</f>
        <v>https://knigipp.ru/api/getInfo/image/b79dc839-1cbb-11ef-a25e-00155d82e908</v>
      </c>
      <c r="AA266" s="33">
        <v>64</v>
      </c>
      <c r="AB266" s="5" t="s">
        <v>574</v>
      </c>
      <c r="AC266" s="5" t="s">
        <v>96</v>
      </c>
      <c r="AD266" s="5"/>
      <c r="AE266" s="5" t="s">
        <v>49</v>
      </c>
      <c r="AF266" s="5"/>
      <c r="AG266" s="5"/>
      <c r="AH266" s="5" t="s">
        <v>1125</v>
      </c>
    </row>
    <row r="267" spans="2:34" ht="21" customHeight="1" outlineLevel="5" x14ac:dyDescent="0.2">
      <c r="B267" s="4">
        <v>178</v>
      </c>
      <c r="C267" s="5" t="s">
        <v>1131</v>
      </c>
      <c r="D267" s="5" t="s">
        <v>1132</v>
      </c>
      <c r="E267" s="6" t="s">
        <v>1133</v>
      </c>
      <c r="F267" s="10"/>
      <c r="G267" s="11" t="s">
        <v>1122</v>
      </c>
      <c r="H267" s="12">
        <v>20</v>
      </c>
      <c r="I267" s="13" t="s">
        <v>41</v>
      </c>
      <c r="J267" s="13"/>
      <c r="K267" s="13"/>
      <c r="L267" s="4">
        <v>7</v>
      </c>
      <c r="M267" s="14">
        <f>97*(1-P3/100)</f>
        <v>97</v>
      </c>
      <c r="N267" s="15"/>
      <c r="O267" s="13">
        <f>M267*N267</f>
        <v>0</v>
      </c>
      <c r="P267" s="22">
        <f>0.043*N267</f>
        <v>0</v>
      </c>
      <c r="Q267" s="23">
        <f>0.00009*N267</f>
        <v>0</v>
      </c>
      <c r="R267" s="24"/>
      <c r="S267" s="25" t="s">
        <v>1134</v>
      </c>
      <c r="T267" s="25" t="s">
        <v>94</v>
      </c>
      <c r="U267" s="5"/>
      <c r="V267" s="5" t="s">
        <v>1135</v>
      </c>
      <c r="W267" s="5" t="s">
        <v>46</v>
      </c>
      <c r="X267" s="5"/>
      <c r="Y267" s="5"/>
      <c r="Z267" s="5" t="str">
        <f>HYPERLINK("https://knigipp.ru/api/getInfo/image/6a77f491-3dd0-11ee-a241-00155d82e902")</f>
        <v>https://knigipp.ru/api/getInfo/image/6a77f491-3dd0-11ee-a241-00155d82e902</v>
      </c>
      <c r="AA267" s="33">
        <v>64</v>
      </c>
      <c r="AB267" s="5" t="s">
        <v>574</v>
      </c>
      <c r="AC267" s="5" t="s">
        <v>96</v>
      </c>
      <c r="AD267" s="5"/>
      <c r="AE267" s="5" t="s">
        <v>49</v>
      </c>
      <c r="AF267" s="5"/>
      <c r="AG267" s="5"/>
      <c r="AH267" s="5" t="s">
        <v>1125</v>
      </c>
    </row>
    <row r="268" spans="2:34" ht="21" customHeight="1" outlineLevel="5" x14ac:dyDescent="0.2">
      <c r="B268" s="4">
        <v>179</v>
      </c>
      <c r="C268" s="5" t="s">
        <v>1136</v>
      </c>
      <c r="D268" s="5" t="s">
        <v>1137</v>
      </c>
      <c r="E268" s="6" t="s">
        <v>1138</v>
      </c>
      <c r="F268" s="10"/>
      <c r="G268" s="11" t="s">
        <v>1122</v>
      </c>
      <c r="H268" s="12">
        <v>20</v>
      </c>
      <c r="I268" s="13" t="s">
        <v>41</v>
      </c>
      <c r="J268" s="13"/>
      <c r="K268" s="13"/>
      <c r="L268" s="4">
        <v>7</v>
      </c>
      <c r="M268" s="14">
        <f>97*(1-P3/100)</f>
        <v>97</v>
      </c>
      <c r="N268" s="15"/>
      <c r="O268" s="13">
        <f>M268*N268</f>
        <v>0</v>
      </c>
      <c r="P268" s="22">
        <f>0.067*N268</f>
        <v>0</v>
      </c>
      <c r="Q268" s="23">
        <f>0.00009*N268</f>
        <v>0</v>
      </c>
      <c r="R268" s="24"/>
      <c r="S268" s="25" t="s">
        <v>1139</v>
      </c>
      <c r="T268" s="25" t="s">
        <v>94</v>
      </c>
      <c r="U268" s="5"/>
      <c r="V268" s="5" t="s">
        <v>1140</v>
      </c>
      <c r="W268" s="5" t="s">
        <v>46</v>
      </c>
      <c r="X268" s="5"/>
      <c r="Y268" s="5"/>
      <c r="Z268" s="5" t="str">
        <f>HYPERLINK("https://knigipp.ru/api/getInfo/image/d9fec466-3dd0-11ee-a241-00155d82e902")</f>
        <v>https://knigipp.ru/api/getInfo/image/d9fec466-3dd0-11ee-a241-00155d82e902</v>
      </c>
      <c r="AA268" s="33">
        <v>64</v>
      </c>
      <c r="AB268" s="5" t="s">
        <v>574</v>
      </c>
      <c r="AC268" s="5" t="s">
        <v>96</v>
      </c>
      <c r="AD268" s="5"/>
      <c r="AE268" s="5" t="s">
        <v>49</v>
      </c>
      <c r="AF268" s="5"/>
      <c r="AG268" s="5"/>
      <c r="AH268" s="5" t="s">
        <v>1125</v>
      </c>
    </row>
    <row r="269" spans="2:34" ht="22.95" customHeight="1" outlineLevel="4" x14ac:dyDescent="0.2">
      <c r="B269" s="75" t="s">
        <v>1141</v>
      </c>
      <c r="C269" s="75"/>
      <c r="D269" s="75"/>
    </row>
    <row r="270" spans="2:34" ht="21" customHeight="1" outlineLevel="5" x14ac:dyDescent="0.2">
      <c r="B270" s="4">
        <v>180</v>
      </c>
      <c r="C270" s="5" t="s">
        <v>1142</v>
      </c>
      <c r="D270" s="5" t="s">
        <v>1143</v>
      </c>
      <c r="E270" s="6" t="s">
        <v>1144</v>
      </c>
      <c r="F270" s="10"/>
      <c r="G270" s="11" t="s">
        <v>1145</v>
      </c>
      <c r="H270" s="12">
        <v>10</v>
      </c>
      <c r="I270" s="13" t="s">
        <v>41</v>
      </c>
      <c r="J270" s="13"/>
      <c r="K270" s="13"/>
      <c r="L270" s="4">
        <v>7</v>
      </c>
      <c r="M270" s="14">
        <f>99*(1-P3/100)</f>
        <v>99</v>
      </c>
      <c r="N270" s="15"/>
      <c r="O270" s="13">
        <f>M270*N270</f>
        <v>0</v>
      </c>
      <c r="P270" s="22">
        <f>0.098*N270</f>
        <v>0</v>
      </c>
      <c r="Q270" s="23">
        <f>0.00028*N270</f>
        <v>0</v>
      </c>
      <c r="R270" s="24"/>
      <c r="S270" s="25" t="s">
        <v>1146</v>
      </c>
      <c r="T270" s="25" t="s">
        <v>94</v>
      </c>
      <c r="U270" s="5"/>
      <c r="V270" s="5" t="s">
        <v>1147</v>
      </c>
      <c r="W270" s="5" t="s">
        <v>46</v>
      </c>
      <c r="X270" s="5" t="s">
        <v>768</v>
      </c>
      <c r="Y270" s="5"/>
      <c r="Z270" s="5" t="str">
        <f>HYPERLINK("https://knigipp.ru/api/getInfo/image/3b4f6292-903a-11ee-a250-00155d82e908")</f>
        <v>https://knigipp.ru/api/getInfo/image/3b4f6292-903a-11ee-a250-00155d82e908</v>
      </c>
      <c r="AA270" s="33">
        <v>80</v>
      </c>
      <c r="AB270" s="5" t="s">
        <v>574</v>
      </c>
      <c r="AC270" s="5" t="s">
        <v>96</v>
      </c>
      <c r="AD270" s="5"/>
      <c r="AE270" s="5" t="s">
        <v>49</v>
      </c>
      <c r="AF270" s="5"/>
      <c r="AG270" s="5"/>
      <c r="AH270" s="5" t="s">
        <v>740</v>
      </c>
    </row>
    <row r="271" spans="2:34" ht="21" customHeight="1" outlineLevel="5" x14ac:dyDescent="0.2">
      <c r="B271" s="4">
        <v>181</v>
      </c>
      <c r="C271" s="5" t="s">
        <v>1148</v>
      </c>
      <c r="D271" s="5" t="s">
        <v>1149</v>
      </c>
      <c r="E271" s="6" t="s">
        <v>1150</v>
      </c>
      <c r="F271" s="10"/>
      <c r="G271" s="11" t="s">
        <v>1145</v>
      </c>
      <c r="H271" s="12">
        <v>10</v>
      </c>
      <c r="I271" s="13" t="s">
        <v>41</v>
      </c>
      <c r="J271" s="13"/>
      <c r="K271" s="13"/>
      <c r="L271" s="4">
        <v>7</v>
      </c>
      <c r="M271" s="14">
        <f>99*(1-P3/100)</f>
        <v>99</v>
      </c>
      <c r="N271" s="15"/>
      <c r="O271" s="13">
        <f>M271*N271</f>
        <v>0</v>
      </c>
      <c r="P271" s="22">
        <f>0.099*N271</f>
        <v>0</v>
      </c>
      <c r="Q271" s="23">
        <f>0.00026*N271</f>
        <v>0</v>
      </c>
      <c r="R271" s="24"/>
      <c r="S271" s="25" t="s">
        <v>1151</v>
      </c>
      <c r="T271" s="25" t="s">
        <v>94</v>
      </c>
      <c r="U271" s="5"/>
      <c r="V271" s="5" t="s">
        <v>1152</v>
      </c>
      <c r="W271" s="5" t="s">
        <v>46</v>
      </c>
      <c r="X271" s="5" t="s">
        <v>768</v>
      </c>
      <c r="Y271" s="5"/>
      <c r="Z271" s="5" t="str">
        <f>HYPERLINK("https://knigipp.ru/api/getInfo/image/f5dc65ed-9039-11ee-a250-00155d82e908")</f>
        <v>https://knigipp.ru/api/getInfo/image/f5dc65ed-9039-11ee-a250-00155d82e908</v>
      </c>
      <c r="AA271" s="33">
        <v>80</v>
      </c>
      <c r="AB271" s="5" t="s">
        <v>574</v>
      </c>
      <c r="AC271" s="5" t="s">
        <v>96</v>
      </c>
      <c r="AD271" s="5"/>
      <c r="AE271" s="5" t="s">
        <v>49</v>
      </c>
      <c r="AF271" s="5"/>
      <c r="AG271" s="5"/>
      <c r="AH271" s="5" t="s">
        <v>740</v>
      </c>
    </row>
    <row r="272" spans="2:34" ht="21" customHeight="1" outlineLevel="5" x14ac:dyDescent="0.2">
      <c r="B272" s="4">
        <v>182</v>
      </c>
      <c r="C272" s="5" t="s">
        <v>1153</v>
      </c>
      <c r="D272" s="5" t="s">
        <v>1154</v>
      </c>
      <c r="E272" s="6" t="s">
        <v>1155</v>
      </c>
      <c r="F272" s="10"/>
      <c r="G272" s="11" t="s">
        <v>1145</v>
      </c>
      <c r="H272" s="12">
        <v>10</v>
      </c>
      <c r="I272" s="13" t="s">
        <v>41</v>
      </c>
      <c r="J272" s="13"/>
      <c r="K272" s="13"/>
      <c r="L272" s="4">
        <v>7</v>
      </c>
      <c r="M272" s="14">
        <f>99*(1-P3/100)</f>
        <v>99</v>
      </c>
      <c r="N272" s="15"/>
      <c r="O272" s="13">
        <f>M272*N272</f>
        <v>0</v>
      </c>
      <c r="P272" s="36">
        <f>0.1*N272</f>
        <v>0</v>
      </c>
      <c r="Q272" s="23">
        <f>0.00027*N272</f>
        <v>0</v>
      </c>
      <c r="R272" s="24"/>
      <c r="S272" s="25" t="s">
        <v>1156</v>
      </c>
      <c r="T272" s="25" t="s">
        <v>94</v>
      </c>
      <c r="U272" s="5"/>
      <c r="V272" s="5" t="s">
        <v>1157</v>
      </c>
      <c r="W272" s="5" t="s">
        <v>46</v>
      </c>
      <c r="X272" s="5" t="s">
        <v>768</v>
      </c>
      <c r="Y272" s="5"/>
      <c r="Z272" s="5" t="str">
        <f>HYPERLINK("https://knigipp.ru/api/getInfo/image/9ea6bd4a-9039-11ee-a250-00155d82e908")</f>
        <v>https://knigipp.ru/api/getInfo/image/9ea6bd4a-9039-11ee-a250-00155d82e908</v>
      </c>
      <c r="AA272" s="33">
        <v>80</v>
      </c>
      <c r="AB272" s="5" t="s">
        <v>574</v>
      </c>
      <c r="AC272" s="5" t="s">
        <v>96</v>
      </c>
      <c r="AD272" s="5"/>
      <c r="AE272" s="5" t="s">
        <v>49</v>
      </c>
      <c r="AF272" s="5"/>
      <c r="AG272" s="5"/>
      <c r="AH272" s="5" t="s">
        <v>740</v>
      </c>
    </row>
    <row r="273" spans="2:34" ht="21" customHeight="1" outlineLevel="5" x14ac:dyDescent="0.2">
      <c r="B273" s="4">
        <v>183</v>
      </c>
      <c r="C273" s="5" t="s">
        <v>1158</v>
      </c>
      <c r="D273" s="5" t="s">
        <v>1159</v>
      </c>
      <c r="E273" s="6" t="s">
        <v>1160</v>
      </c>
      <c r="F273" s="10"/>
      <c r="G273" s="11" t="s">
        <v>1145</v>
      </c>
      <c r="H273" s="12">
        <v>10</v>
      </c>
      <c r="I273" s="13" t="s">
        <v>41</v>
      </c>
      <c r="J273" s="13"/>
      <c r="K273" s="13"/>
      <c r="L273" s="4">
        <v>7</v>
      </c>
      <c r="M273" s="14">
        <f>99*(1-P3/100)</f>
        <v>99</v>
      </c>
      <c r="N273" s="15"/>
      <c r="O273" s="13">
        <f>M273*N273</f>
        <v>0</v>
      </c>
      <c r="P273" s="22">
        <f>0.098*N273</f>
        <v>0</v>
      </c>
      <c r="Q273" s="23">
        <f>0.00028*N273</f>
        <v>0</v>
      </c>
      <c r="R273" s="24"/>
      <c r="S273" s="25" t="s">
        <v>1161</v>
      </c>
      <c r="T273" s="25" t="s">
        <v>94</v>
      </c>
      <c r="U273" s="5"/>
      <c r="V273" s="5" t="s">
        <v>1162</v>
      </c>
      <c r="W273" s="5" t="s">
        <v>46</v>
      </c>
      <c r="X273" s="5" t="s">
        <v>768</v>
      </c>
      <c r="Y273" s="5"/>
      <c r="Z273" s="5" t="str">
        <f>HYPERLINK("https://knigipp.ru/api/getInfo/image/82424493-903a-11ee-a250-00155d82e908")</f>
        <v>https://knigipp.ru/api/getInfo/image/82424493-903a-11ee-a250-00155d82e908</v>
      </c>
      <c r="AA273" s="33">
        <v>80</v>
      </c>
      <c r="AB273" s="5" t="s">
        <v>574</v>
      </c>
      <c r="AC273" s="5" t="s">
        <v>96</v>
      </c>
      <c r="AD273" s="5"/>
      <c r="AE273" s="5" t="s">
        <v>49</v>
      </c>
      <c r="AF273" s="5"/>
      <c r="AG273" s="5"/>
      <c r="AH273" s="5" t="s">
        <v>740</v>
      </c>
    </row>
    <row r="274" spans="2:34" ht="22.95" customHeight="1" outlineLevel="4" x14ac:dyDescent="0.2">
      <c r="B274" s="75" t="s">
        <v>1163</v>
      </c>
      <c r="C274" s="75"/>
      <c r="D274" s="75"/>
    </row>
    <row r="275" spans="2:34" ht="21" customHeight="1" outlineLevel="5" x14ac:dyDescent="0.2">
      <c r="B275" s="4">
        <v>184</v>
      </c>
      <c r="C275" s="5" t="s">
        <v>1164</v>
      </c>
      <c r="D275" s="5" t="s">
        <v>1165</v>
      </c>
      <c r="E275" s="6" t="s">
        <v>1166</v>
      </c>
      <c r="F275" s="10"/>
      <c r="G275" s="11" t="s">
        <v>1167</v>
      </c>
      <c r="H275" s="12">
        <v>20</v>
      </c>
      <c r="I275" s="13" t="s">
        <v>371</v>
      </c>
      <c r="J275" s="13"/>
      <c r="K275" s="13"/>
      <c r="L275" s="4">
        <v>7</v>
      </c>
      <c r="M275" s="14">
        <f>99*(1-P3/100)</f>
        <v>99</v>
      </c>
      <c r="N275" s="15"/>
      <c r="O275" s="13">
        <f>M275*N275</f>
        <v>0</v>
      </c>
      <c r="P275" s="13">
        <v>0</v>
      </c>
      <c r="Q275" s="13">
        <v>0</v>
      </c>
      <c r="R275" s="24"/>
      <c r="S275" s="25" t="s">
        <v>1168</v>
      </c>
      <c r="T275" s="25" t="s">
        <v>94</v>
      </c>
      <c r="U275" s="5"/>
      <c r="V275" s="5"/>
      <c r="W275" s="5" t="s">
        <v>46</v>
      </c>
      <c r="X275" s="5"/>
      <c r="Y275" s="5"/>
      <c r="Z275" s="5" t="str">
        <f>HYPERLINK("https://knigipp.ru/api/getInfo/image/ca975d61-3074-11ee-a23e-00155d82e902")</f>
        <v>https://knigipp.ru/api/getInfo/image/ca975d61-3074-11ee-a23e-00155d82e902</v>
      </c>
      <c r="AA275" s="33">
        <v>80</v>
      </c>
      <c r="AB275" s="5" t="s">
        <v>574</v>
      </c>
      <c r="AC275" s="5" t="s">
        <v>48</v>
      </c>
      <c r="AD275" s="5"/>
      <c r="AE275" s="5" t="s">
        <v>49</v>
      </c>
      <c r="AF275" s="5"/>
      <c r="AG275" s="5"/>
      <c r="AH275" s="5" t="s">
        <v>1169</v>
      </c>
    </row>
    <row r="276" spans="2:34" ht="21" customHeight="1" outlineLevel="5" x14ac:dyDescent="0.2">
      <c r="B276" s="4">
        <v>185</v>
      </c>
      <c r="C276" s="5" t="s">
        <v>1170</v>
      </c>
      <c r="D276" s="5" t="s">
        <v>1171</v>
      </c>
      <c r="E276" s="6" t="s">
        <v>1172</v>
      </c>
      <c r="F276" s="10"/>
      <c r="G276" s="11" t="s">
        <v>1167</v>
      </c>
      <c r="H276" s="12">
        <v>20</v>
      </c>
      <c r="I276" s="13" t="s">
        <v>261</v>
      </c>
      <c r="J276" s="13"/>
      <c r="K276" s="13"/>
      <c r="L276" s="4">
        <v>7</v>
      </c>
      <c r="M276" s="14">
        <f>99*(1-P3/100)</f>
        <v>99</v>
      </c>
      <c r="N276" s="15"/>
      <c r="O276" s="13">
        <f>M276*N276</f>
        <v>0</v>
      </c>
      <c r="P276" s="13">
        <v>0</v>
      </c>
      <c r="Q276" s="13">
        <v>0</v>
      </c>
      <c r="R276" s="24"/>
      <c r="S276" s="25" t="s">
        <v>1173</v>
      </c>
      <c r="T276" s="25" t="s">
        <v>94</v>
      </c>
      <c r="U276" s="5"/>
      <c r="V276" s="5"/>
      <c r="W276" s="5" t="s">
        <v>46</v>
      </c>
      <c r="X276" s="5"/>
      <c r="Y276" s="5"/>
      <c r="Z276" s="5" t="str">
        <f>HYPERLINK("https://knigipp.ru/api/getInfo/image/877d15c9-3074-11ee-a23e-00155d82e902")</f>
        <v>https://knigipp.ru/api/getInfo/image/877d15c9-3074-11ee-a23e-00155d82e902</v>
      </c>
      <c r="AA276" s="33">
        <v>80</v>
      </c>
      <c r="AB276" s="5" t="s">
        <v>574</v>
      </c>
      <c r="AC276" s="5" t="s">
        <v>48</v>
      </c>
      <c r="AD276" s="5"/>
      <c r="AE276" s="5" t="s">
        <v>49</v>
      </c>
      <c r="AF276" s="5"/>
      <c r="AG276" s="5"/>
      <c r="AH276" s="5" t="s">
        <v>1169</v>
      </c>
    </row>
    <row r="277" spans="2:34" ht="22.95" customHeight="1" outlineLevel="4" x14ac:dyDescent="0.2">
      <c r="B277" s="75" t="s">
        <v>1174</v>
      </c>
      <c r="C277" s="75"/>
      <c r="D277" s="75"/>
    </row>
    <row r="278" spans="2:34" ht="21" customHeight="1" outlineLevel="5" x14ac:dyDescent="0.2">
      <c r="B278" s="4">
        <v>186</v>
      </c>
      <c r="C278" s="5" t="s">
        <v>1175</v>
      </c>
      <c r="D278" s="5" t="s">
        <v>1176</v>
      </c>
      <c r="E278" s="6" t="s">
        <v>1177</v>
      </c>
      <c r="F278" s="10"/>
      <c r="G278" s="11"/>
      <c r="H278" s="12">
        <v>10</v>
      </c>
      <c r="I278" s="13" t="s">
        <v>41</v>
      </c>
      <c r="J278" s="13"/>
      <c r="K278" s="13"/>
      <c r="L278" s="4">
        <v>7</v>
      </c>
      <c r="M278" s="14">
        <f>99*(1-P3/100)</f>
        <v>99</v>
      </c>
      <c r="N278" s="15"/>
      <c r="O278" s="13">
        <f>M278*N278</f>
        <v>0</v>
      </c>
      <c r="P278" s="22">
        <f>0.118*N278</f>
        <v>0</v>
      </c>
      <c r="Q278" s="23">
        <f>0.00061*N278</f>
        <v>0</v>
      </c>
      <c r="R278" s="24"/>
      <c r="S278" s="25" t="s">
        <v>1178</v>
      </c>
      <c r="T278" s="25" t="s">
        <v>94</v>
      </c>
      <c r="U278" s="5"/>
      <c r="V278" s="5" t="s">
        <v>1179</v>
      </c>
      <c r="W278" s="5" t="s">
        <v>46</v>
      </c>
      <c r="X278" s="5" t="s">
        <v>992</v>
      </c>
      <c r="Y278" s="5"/>
      <c r="Z278" s="5" t="str">
        <f>HYPERLINK("https://knigipp.ru/api/getInfo/image/0fb36740-e1ff-11ee-a25a-00155d82e908")</f>
        <v>https://knigipp.ru/api/getInfo/image/0fb36740-e1ff-11ee-a25a-00155d82e908</v>
      </c>
      <c r="AA278" s="33">
        <v>40</v>
      </c>
      <c r="AB278" s="5" t="s">
        <v>598</v>
      </c>
      <c r="AC278" s="5" t="s">
        <v>96</v>
      </c>
      <c r="AD278" s="5"/>
      <c r="AE278" s="5" t="s">
        <v>49</v>
      </c>
      <c r="AF278" s="5"/>
      <c r="AG278" s="5"/>
      <c r="AH278" s="5" t="s">
        <v>1180</v>
      </c>
    </row>
    <row r="279" spans="2:34" ht="21" customHeight="1" outlineLevel="5" x14ac:dyDescent="0.2">
      <c r="B279" s="4">
        <v>187</v>
      </c>
      <c r="C279" s="5" t="s">
        <v>1181</v>
      </c>
      <c r="D279" s="5" t="s">
        <v>1182</v>
      </c>
      <c r="E279" s="6" t="s">
        <v>1183</v>
      </c>
      <c r="F279" s="10"/>
      <c r="G279" s="11"/>
      <c r="H279" s="12">
        <v>10</v>
      </c>
      <c r="I279" s="13" t="s">
        <v>41</v>
      </c>
      <c r="J279" s="13"/>
      <c r="K279" s="13"/>
      <c r="L279" s="4">
        <v>7</v>
      </c>
      <c r="M279" s="14">
        <f>99*(1-P3/100)</f>
        <v>99</v>
      </c>
      <c r="N279" s="15"/>
      <c r="O279" s="13">
        <f>M279*N279</f>
        <v>0</v>
      </c>
      <c r="P279" s="13">
        <v>0</v>
      </c>
      <c r="Q279" s="13">
        <v>0</v>
      </c>
      <c r="R279" s="24"/>
      <c r="S279" s="25" t="s">
        <v>1184</v>
      </c>
      <c r="T279" s="25" t="s">
        <v>94</v>
      </c>
      <c r="U279" s="5"/>
      <c r="V279" s="5" t="s">
        <v>1185</v>
      </c>
      <c r="W279" s="5" t="s">
        <v>46</v>
      </c>
      <c r="X279" s="5" t="s">
        <v>992</v>
      </c>
      <c r="Y279" s="5"/>
      <c r="Z279" s="5" t="str">
        <f>HYPERLINK("https://knigipp.ru/api/getInfo/image/58b78a2b-e1ff-11ee-a25a-00155d82e908")</f>
        <v>https://knigipp.ru/api/getInfo/image/58b78a2b-e1ff-11ee-a25a-00155d82e908</v>
      </c>
      <c r="AA279" s="33">
        <v>40</v>
      </c>
      <c r="AB279" s="5" t="s">
        <v>598</v>
      </c>
      <c r="AC279" s="5" t="s">
        <v>96</v>
      </c>
      <c r="AD279" s="5"/>
      <c r="AE279" s="5" t="s">
        <v>49</v>
      </c>
      <c r="AF279" s="5"/>
      <c r="AG279" s="5"/>
      <c r="AH279" s="5" t="s">
        <v>1180</v>
      </c>
    </row>
    <row r="280" spans="2:34" ht="21" customHeight="1" outlineLevel="5" x14ac:dyDescent="0.2">
      <c r="B280" s="4">
        <v>188</v>
      </c>
      <c r="C280" s="5" t="s">
        <v>1186</v>
      </c>
      <c r="D280" s="5" t="s">
        <v>1187</v>
      </c>
      <c r="E280" s="6" t="s">
        <v>1188</v>
      </c>
      <c r="F280" s="10"/>
      <c r="G280" s="11"/>
      <c r="H280" s="12">
        <v>10</v>
      </c>
      <c r="I280" s="13" t="s">
        <v>41</v>
      </c>
      <c r="J280" s="13"/>
      <c r="K280" s="13"/>
      <c r="L280" s="4">
        <v>7</v>
      </c>
      <c r="M280" s="14">
        <f>99*(1-P3/100)</f>
        <v>99</v>
      </c>
      <c r="N280" s="15"/>
      <c r="O280" s="13">
        <f>M280*N280</f>
        <v>0</v>
      </c>
      <c r="P280" s="13">
        <v>0</v>
      </c>
      <c r="Q280" s="13">
        <v>0</v>
      </c>
      <c r="R280" s="24"/>
      <c r="S280" s="25" t="s">
        <v>1189</v>
      </c>
      <c r="T280" s="25" t="s">
        <v>94</v>
      </c>
      <c r="U280" s="5"/>
      <c r="V280" s="5" t="s">
        <v>1190</v>
      </c>
      <c r="W280" s="5" t="s">
        <v>46</v>
      </c>
      <c r="X280" s="5" t="s">
        <v>992</v>
      </c>
      <c r="Y280" s="5"/>
      <c r="Z280" s="5" t="str">
        <f>HYPERLINK("https://knigipp.ru/api/getInfo/image/7ba1e8e8-e1ff-11ee-a25a-00155d82e908")</f>
        <v>https://knigipp.ru/api/getInfo/image/7ba1e8e8-e1ff-11ee-a25a-00155d82e908</v>
      </c>
      <c r="AA280" s="33">
        <v>40</v>
      </c>
      <c r="AB280" s="5" t="s">
        <v>598</v>
      </c>
      <c r="AC280" s="5" t="s">
        <v>96</v>
      </c>
      <c r="AD280" s="5"/>
      <c r="AE280" s="5" t="s">
        <v>49</v>
      </c>
      <c r="AF280" s="5"/>
      <c r="AG280" s="5"/>
      <c r="AH280" s="5" t="s">
        <v>1180</v>
      </c>
    </row>
    <row r="281" spans="2:34" ht="21" customHeight="1" outlineLevel="5" x14ac:dyDescent="0.2">
      <c r="B281" s="4">
        <v>189</v>
      </c>
      <c r="C281" s="5" t="s">
        <v>1191</v>
      </c>
      <c r="D281" s="5" t="s">
        <v>1192</v>
      </c>
      <c r="E281" s="6" t="s">
        <v>1193</v>
      </c>
      <c r="F281" s="10"/>
      <c r="G281" s="11"/>
      <c r="H281" s="12">
        <v>10</v>
      </c>
      <c r="I281" s="13" t="s">
        <v>41</v>
      </c>
      <c r="J281" s="13"/>
      <c r="K281" s="13"/>
      <c r="L281" s="4">
        <v>7</v>
      </c>
      <c r="M281" s="14">
        <f>99*(1-P3/100)</f>
        <v>99</v>
      </c>
      <c r="N281" s="15"/>
      <c r="O281" s="13">
        <f>M281*N281</f>
        <v>0</v>
      </c>
      <c r="P281" s="13">
        <v>0</v>
      </c>
      <c r="Q281" s="13">
        <v>0</v>
      </c>
      <c r="R281" s="24"/>
      <c r="S281" s="25" t="s">
        <v>1194</v>
      </c>
      <c r="T281" s="25" t="s">
        <v>94</v>
      </c>
      <c r="U281" s="5"/>
      <c r="V281" s="5" t="s">
        <v>1195</v>
      </c>
      <c r="W281" s="5" t="s">
        <v>46</v>
      </c>
      <c r="X281" s="5" t="s">
        <v>992</v>
      </c>
      <c r="Y281" s="5"/>
      <c r="Z281" s="5" t="str">
        <f>HYPERLINK("https://knigipp.ru/api/getInfo/image/35b555d8-e1ff-11ee-a25a-00155d82e908")</f>
        <v>https://knigipp.ru/api/getInfo/image/35b555d8-e1ff-11ee-a25a-00155d82e908</v>
      </c>
      <c r="AA281" s="33">
        <v>40</v>
      </c>
      <c r="AB281" s="5" t="s">
        <v>598</v>
      </c>
      <c r="AC281" s="5" t="s">
        <v>96</v>
      </c>
      <c r="AD281" s="5"/>
      <c r="AE281" s="5" t="s">
        <v>49</v>
      </c>
      <c r="AF281" s="5"/>
      <c r="AG281" s="5"/>
      <c r="AH281" s="5" t="s">
        <v>1180</v>
      </c>
    </row>
    <row r="282" spans="2:34" ht="22.95" customHeight="1" outlineLevel="4" x14ac:dyDescent="0.2">
      <c r="B282" s="75" t="s">
        <v>1196</v>
      </c>
      <c r="C282" s="75"/>
      <c r="D282" s="75"/>
    </row>
    <row r="283" spans="2:34" ht="21" customHeight="1" outlineLevel="5" x14ac:dyDescent="0.2">
      <c r="B283" s="4">
        <v>190</v>
      </c>
      <c r="C283" s="5" t="s">
        <v>1197</v>
      </c>
      <c r="D283" s="5" t="s">
        <v>1198</v>
      </c>
      <c r="E283" s="6" t="s">
        <v>1199</v>
      </c>
      <c r="F283" s="10"/>
      <c r="G283" s="11" t="s">
        <v>1200</v>
      </c>
      <c r="H283" s="12">
        <v>10</v>
      </c>
      <c r="I283" s="13" t="s">
        <v>371</v>
      </c>
      <c r="J283" s="13"/>
      <c r="K283" s="13"/>
      <c r="L283" s="4">
        <v>1</v>
      </c>
      <c r="M283" s="14">
        <f>497*(1-P3/100)</f>
        <v>497</v>
      </c>
      <c r="N283" s="15"/>
      <c r="O283" s="13">
        <f>M283*N283</f>
        <v>0</v>
      </c>
      <c r="P283" s="22">
        <f>0.458*N283</f>
        <v>0</v>
      </c>
      <c r="Q283" s="23">
        <f>0.00066*N283</f>
        <v>0</v>
      </c>
      <c r="R283" s="24"/>
      <c r="S283" s="25" t="s">
        <v>1201</v>
      </c>
      <c r="T283" s="25" t="s">
        <v>94</v>
      </c>
      <c r="U283" s="5"/>
      <c r="V283" s="5" t="s">
        <v>1202</v>
      </c>
      <c r="W283" s="5" t="s">
        <v>46</v>
      </c>
      <c r="X283" s="5"/>
      <c r="Y283" s="5"/>
      <c r="Z283" s="5" t="str">
        <f>HYPERLINK("https://knigipp.ru/api/getInfo/image/23e7df29-c282-11ef-a268-00155d82e908")</f>
        <v>https://knigipp.ru/api/getInfo/image/23e7df29-c282-11ef-a268-00155d82e908</v>
      </c>
      <c r="AA283" s="33">
        <v>336</v>
      </c>
      <c r="AB283" s="5" t="s">
        <v>598</v>
      </c>
      <c r="AC283" s="5" t="s">
        <v>86</v>
      </c>
      <c r="AD283" s="5"/>
      <c r="AE283" s="5" t="s">
        <v>49</v>
      </c>
      <c r="AF283" s="5"/>
      <c r="AG283" s="5"/>
      <c r="AH283" s="5" t="s">
        <v>1203</v>
      </c>
    </row>
    <row r="284" spans="2:34" ht="21" customHeight="1" outlineLevel="5" x14ac:dyDescent="0.2">
      <c r="B284" s="4">
        <v>191</v>
      </c>
      <c r="C284" s="5" t="s">
        <v>1204</v>
      </c>
      <c r="D284" s="5" t="s">
        <v>1205</v>
      </c>
      <c r="E284" s="6" t="s">
        <v>1206</v>
      </c>
      <c r="F284" s="10"/>
      <c r="G284" s="11" t="s">
        <v>1200</v>
      </c>
      <c r="H284" s="12">
        <v>10</v>
      </c>
      <c r="I284" s="13" t="s">
        <v>41</v>
      </c>
      <c r="J284" s="13"/>
      <c r="K284" s="13"/>
      <c r="L284" s="4">
        <v>1</v>
      </c>
      <c r="M284" s="14">
        <f>497*(1-P3/100)</f>
        <v>497</v>
      </c>
      <c r="N284" s="15"/>
      <c r="O284" s="13">
        <f>M284*N284</f>
        <v>0</v>
      </c>
      <c r="P284" s="22">
        <f>0.458*N284</f>
        <v>0</v>
      </c>
      <c r="Q284" s="23">
        <f>0.00066*N284</f>
        <v>0</v>
      </c>
      <c r="R284" s="24"/>
      <c r="S284" s="25" t="s">
        <v>1207</v>
      </c>
      <c r="T284" s="25" t="s">
        <v>94</v>
      </c>
      <c r="U284" s="5"/>
      <c r="V284" s="5" t="s">
        <v>1208</v>
      </c>
      <c r="W284" s="5" t="s">
        <v>46</v>
      </c>
      <c r="X284" s="5"/>
      <c r="Y284" s="5"/>
      <c r="Z284" s="5" t="str">
        <f>HYPERLINK("https://knigipp.ru/api/getInfo/image/63cd9663-c282-11ef-a268-00155d82e908")</f>
        <v>https://knigipp.ru/api/getInfo/image/63cd9663-c282-11ef-a268-00155d82e908</v>
      </c>
      <c r="AA284" s="33">
        <v>336</v>
      </c>
      <c r="AB284" s="5" t="s">
        <v>598</v>
      </c>
      <c r="AC284" s="5" t="s">
        <v>86</v>
      </c>
      <c r="AD284" s="5"/>
      <c r="AE284" s="5" t="s">
        <v>49</v>
      </c>
      <c r="AF284" s="5"/>
      <c r="AG284" s="5"/>
      <c r="AH284" s="5" t="s">
        <v>1203</v>
      </c>
    </row>
    <row r="285" spans="2:34" ht="21" customHeight="1" outlineLevel="5" x14ac:dyDescent="0.2">
      <c r="B285" s="4">
        <v>192</v>
      </c>
      <c r="C285" s="5" t="s">
        <v>1209</v>
      </c>
      <c r="D285" s="5" t="s">
        <v>1210</v>
      </c>
      <c r="E285" s="6" t="s">
        <v>1211</v>
      </c>
      <c r="F285" s="10"/>
      <c r="G285" s="11" t="s">
        <v>1200</v>
      </c>
      <c r="H285" s="12">
        <v>10</v>
      </c>
      <c r="I285" s="13" t="s">
        <v>41</v>
      </c>
      <c r="J285" s="13"/>
      <c r="K285" s="13"/>
      <c r="L285" s="4">
        <v>1</v>
      </c>
      <c r="M285" s="14">
        <f>497*(1-P3/100)</f>
        <v>497</v>
      </c>
      <c r="N285" s="15"/>
      <c r="O285" s="13">
        <f>M285*N285</f>
        <v>0</v>
      </c>
      <c r="P285" s="22">
        <f>0.459*N285</f>
        <v>0</v>
      </c>
      <c r="Q285" s="23">
        <f>0.00069*N285</f>
        <v>0</v>
      </c>
      <c r="R285" s="24"/>
      <c r="S285" s="25" t="s">
        <v>1212</v>
      </c>
      <c r="T285" s="25" t="s">
        <v>94</v>
      </c>
      <c r="U285" s="5"/>
      <c r="V285" s="5" t="s">
        <v>1213</v>
      </c>
      <c r="W285" s="5" t="s">
        <v>46</v>
      </c>
      <c r="X285" s="5"/>
      <c r="Y285" s="5"/>
      <c r="Z285" s="5" t="str">
        <f>HYPERLINK("https://knigipp.ru/api/getInfo/image/fd19a6a2-c282-11ef-a268-00155d82e908")</f>
        <v>https://knigipp.ru/api/getInfo/image/fd19a6a2-c282-11ef-a268-00155d82e908</v>
      </c>
      <c r="AA285" s="33">
        <v>336</v>
      </c>
      <c r="AB285" s="5" t="s">
        <v>598</v>
      </c>
      <c r="AC285" s="5" t="s">
        <v>86</v>
      </c>
      <c r="AD285" s="5"/>
      <c r="AE285" s="5" t="s">
        <v>49</v>
      </c>
      <c r="AF285" s="5"/>
      <c r="AG285" s="5"/>
      <c r="AH285" s="5" t="s">
        <v>1203</v>
      </c>
    </row>
    <row r="286" spans="2:34" ht="22.95" customHeight="1" outlineLevel="4" x14ac:dyDescent="0.2">
      <c r="B286" s="75" t="s">
        <v>1214</v>
      </c>
      <c r="C286" s="75"/>
      <c r="D286" s="75"/>
    </row>
    <row r="287" spans="2:34" ht="21" customHeight="1" outlineLevel="5" x14ac:dyDescent="0.2">
      <c r="B287" s="4">
        <v>193</v>
      </c>
      <c r="C287" s="5" t="s">
        <v>1215</v>
      </c>
      <c r="D287" s="5" t="s">
        <v>1216</v>
      </c>
      <c r="E287" s="6" t="s">
        <v>1217</v>
      </c>
      <c r="F287" s="10"/>
      <c r="G287" s="11" t="s">
        <v>1218</v>
      </c>
      <c r="H287" s="12">
        <v>20</v>
      </c>
      <c r="I287" s="13" t="s">
        <v>41</v>
      </c>
      <c r="J287" s="13"/>
      <c r="K287" s="13"/>
      <c r="L287" s="4">
        <v>4</v>
      </c>
      <c r="M287" s="14">
        <f>169*(1-P3/100)</f>
        <v>169</v>
      </c>
      <c r="N287" s="15"/>
      <c r="O287" s="13">
        <f>M287*N287</f>
        <v>0</v>
      </c>
      <c r="P287" s="22">
        <f>0.118*N287</f>
        <v>0</v>
      </c>
      <c r="Q287" s="23">
        <f>0.00023*N287</f>
        <v>0</v>
      </c>
      <c r="R287" s="24"/>
      <c r="S287" s="25" t="s">
        <v>1219</v>
      </c>
      <c r="T287" s="25" t="s">
        <v>94</v>
      </c>
      <c r="U287" s="5"/>
      <c r="V287" s="5" t="s">
        <v>1220</v>
      </c>
      <c r="W287" s="5" t="s">
        <v>46</v>
      </c>
      <c r="X287" s="5"/>
      <c r="Y287" s="5"/>
      <c r="Z287" s="5" t="str">
        <f>HYPERLINK("https://knigipp.ru/api/getInfo/image/06091dab-0c3c-11ef-a25d-00155d82e908")</f>
        <v>https://knigipp.ru/api/getInfo/image/06091dab-0c3c-11ef-a25d-00155d82e908</v>
      </c>
      <c r="AA287" s="33">
        <v>128</v>
      </c>
      <c r="AB287" s="5" t="s">
        <v>47</v>
      </c>
      <c r="AC287" s="5" t="s">
        <v>48</v>
      </c>
      <c r="AD287" s="5"/>
      <c r="AE287" s="5" t="s">
        <v>49</v>
      </c>
      <c r="AF287" s="5"/>
      <c r="AG287" s="5"/>
      <c r="AH287" s="5" t="s">
        <v>1221</v>
      </c>
    </row>
    <row r="288" spans="2:34" ht="21" customHeight="1" outlineLevel="5" x14ac:dyDescent="0.2">
      <c r="B288" s="4">
        <v>194</v>
      </c>
      <c r="C288" s="5" t="s">
        <v>1222</v>
      </c>
      <c r="D288" s="5" t="s">
        <v>1223</v>
      </c>
      <c r="E288" s="6" t="s">
        <v>1224</v>
      </c>
      <c r="F288" s="10"/>
      <c r="G288" s="11" t="s">
        <v>1218</v>
      </c>
      <c r="H288" s="12">
        <v>20</v>
      </c>
      <c r="I288" s="13" t="s">
        <v>41</v>
      </c>
      <c r="J288" s="13"/>
      <c r="K288" s="13"/>
      <c r="L288" s="4">
        <v>4</v>
      </c>
      <c r="M288" s="14">
        <f>169*(1-P3/100)</f>
        <v>169</v>
      </c>
      <c r="N288" s="15"/>
      <c r="O288" s="13">
        <f>M288*N288</f>
        <v>0</v>
      </c>
      <c r="P288" s="22">
        <f>0.118*N288</f>
        <v>0</v>
      </c>
      <c r="Q288" s="30">
        <f>0.0003*N288</f>
        <v>0</v>
      </c>
      <c r="R288" s="24"/>
      <c r="S288" s="25" t="s">
        <v>1225</v>
      </c>
      <c r="T288" s="25" t="s">
        <v>94</v>
      </c>
      <c r="U288" s="5"/>
      <c r="V288" s="5" t="s">
        <v>1226</v>
      </c>
      <c r="W288" s="5" t="s">
        <v>46</v>
      </c>
      <c r="X288" s="5"/>
      <c r="Y288" s="5"/>
      <c r="Z288" s="5" t="str">
        <f>HYPERLINK("https://knigipp.ru/api/getInfo/image/58ffb733-0c3c-11ef-a25d-00155d82e908")</f>
        <v>https://knigipp.ru/api/getInfo/image/58ffb733-0c3c-11ef-a25d-00155d82e908</v>
      </c>
      <c r="AA288" s="33">
        <v>128</v>
      </c>
      <c r="AB288" s="5" t="s">
        <v>47</v>
      </c>
      <c r="AC288" s="5" t="s">
        <v>48</v>
      </c>
      <c r="AD288" s="5"/>
      <c r="AE288" s="5" t="s">
        <v>49</v>
      </c>
      <c r="AF288" s="5"/>
      <c r="AG288" s="5"/>
      <c r="AH288" s="5" t="s">
        <v>1221</v>
      </c>
    </row>
    <row r="289" spans="2:34" ht="21" customHeight="1" outlineLevel="5" x14ac:dyDescent="0.2">
      <c r="B289" s="4">
        <v>195</v>
      </c>
      <c r="C289" s="5" t="s">
        <v>1227</v>
      </c>
      <c r="D289" s="5" t="s">
        <v>1228</v>
      </c>
      <c r="E289" s="6" t="s">
        <v>1229</v>
      </c>
      <c r="F289" s="10"/>
      <c r="G289" s="11" t="s">
        <v>1218</v>
      </c>
      <c r="H289" s="12">
        <v>20</v>
      </c>
      <c r="I289" s="13" t="s">
        <v>41</v>
      </c>
      <c r="J289" s="13"/>
      <c r="K289" s="13"/>
      <c r="L289" s="4">
        <v>4</v>
      </c>
      <c r="M289" s="14">
        <f>169*(1-P3/100)</f>
        <v>169</v>
      </c>
      <c r="N289" s="15"/>
      <c r="O289" s="13">
        <f>M289*N289</f>
        <v>0</v>
      </c>
      <c r="P289" s="22">
        <f>0.116*N289</f>
        <v>0</v>
      </c>
      <c r="Q289" s="23">
        <f>0.00028*N289</f>
        <v>0</v>
      </c>
      <c r="R289" s="24"/>
      <c r="S289" s="25" t="s">
        <v>1230</v>
      </c>
      <c r="T289" s="25" t="s">
        <v>94</v>
      </c>
      <c r="U289" s="5"/>
      <c r="V289" s="5" t="s">
        <v>1231</v>
      </c>
      <c r="W289" s="5" t="s">
        <v>46</v>
      </c>
      <c r="X289" s="5"/>
      <c r="Y289" s="5"/>
      <c r="Z289" s="5" t="str">
        <f>HYPERLINK("https://knigipp.ru/api/getInfo/image/77df6493-0c3c-11ef-a25d-00155d82e908")</f>
        <v>https://knigipp.ru/api/getInfo/image/77df6493-0c3c-11ef-a25d-00155d82e908</v>
      </c>
      <c r="AA289" s="33">
        <v>128</v>
      </c>
      <c r="AB289" s="5" t="s">
        <v>47</v>
      </c>
      <c r="AC289" s="5" t="s">
        <v>48</v>
      </c>
      <c r="AD289" s="5"/>
      <c r="AE289" s="5" t="s">
        <v>49</v>
      </c>
      <c r="AF289" s="5"/>
      <c r="AG289" s="5"/>
      <c r="AH289" s="5" t="s">
        <v>1221</v>
      </c>
    </row>
    <row r="290" spans="2:34" ht="22.95" customHeight="1" outlineLevel="4" x14ac:dyDescent="0.2">
      <c r="B290" s="75" t="s">
        <v>1232</v>
      </c>
      <c r="C290" s="75"/>
      <c r="D290" s="75"/>
    </row>
    <row r="291" spans="2:34" ht="21" customHeight="1" outlineLevel="5" x14ac:dyDescent="0.2">
      <c r="B291" s="4">
        <v>196</v>
      </c>
      <c r="C291" s="5" t="s">
        <v>1233</v>
      </c>
      <c r="D291" s="5" t="s">
        <v>1234</v>
      </c>
      <c r="E291" s="6" t="s">
        <v>1235</v>
      </c>
      <c r="F291" s="10"/>
      <c r="G291" s="11" t="s">
        <v>1236</v>
      </c>
      <c r="H291" s="12">
        <v>10</v>
      </c>
      <c r="I291" s="13" t="s">
        <v>41</v>
      </c>
      <c r="J291" s="13"/>
      <c r="K291" s="13"/>
      <c r="L291" s="4">
        <v>3</v>
      </c>
      <c r="M291" s="14">
        <f>227*(1-P3/100)</f>
        <v>227</v>
      </c>
      <c r="N291" s="15"/>
      <c r="O291" s="13">
        <f>M291*N291</f>
        <v>0</v>
      </c>
      <c r="P291" s="22">
        <f>0.043*N291</f>
        <v>0</v>
      </c>
      <c r="Q291" s="23">
        <f>0.00009*N291</f>
        <v>0</v>
      </c>
      <c r="R291" s="24"/>
      <c r="S291" s="25" t="s">
        <v>1237</v>
      </c>
      <c r="T291" s="25" t="s">
        <v>94</v>
      </c>
      <c r="U291" s="5"/>
      <c r="V291" s="5" t="s">
        <v>1238</v>
      </c>
      <c r="W291" s="5" t="s">
        <v>46</v>
      </c>
      <c r="X291" s="5"/>
      <c r="Y291" s="5"/>
      <c r="Z291" s="5" t="str">
        <f>HYPERLINK("https://knigipp.ru/api/getInfo/image/49d0fd5c-0e3e-11f0-a279-00155d82e908")</f>
        <v>https://knigipp.ru/api/getInfo/image/49d0fd5c-0e3e-11f0-a279-00155d82e908</v>
      </c>
      <c r="AA291" s="33">
        <v>96</v>
      </c>
      <c r="AB291" s="5" t="s">
        <v>47</v>
      </c>
      <c r="AC291" s="5" t="s">
        <v>86</v>
      </c>
      <c r="AD291" s="5"/>
      <c r="AE291" s="5" t="s">
        <v>49</v>
      </c>
      <c r="AF291" s="5"/>
      <c r="AG291" s="5"/>
      <c r="AH291" s="5" t="s">
        <v>1239</v>
      </c>
    </row>
    <row r="292" spans="2:34" ht="21" customHeight="1" outlineLevel="5" x14ac:dyDescent="0.2">
      <c r="B292" s="4">
        <v>197</v>
      </c>
      <c r="C292" s="5" t="s">
        <v>1240</v>
      </c>
      <c r="D292" s="5" t="s">
        <v>1241</v>
      </c>
      <c r="E292" s="6" t="s">
        <v>1242</v>
      </c>
      <c r="F292" s="10"/>
      <c r="G292" s="11" t="s">
        <v>1236</v>
      </c>
      <c r="H292" s="12">
        <v>10</v>
      </c>
      <c r="I292" s="13" t="s">
        <v>371</v>
      </c>
      <c r="J292" s="13"/>
      <c r="K292" s="13"/>
      <c r="L292" s="4">
        <v>3</v>
      </c>
      <c r="M292" s="14">
        <f>227*(1-P3/100)</f>
        <v>227</v>
      </c>
      <c r="N292" s="15"/>
      <c r="O292" s="13">
        <f>M292*N292</f>
        <v>0</v>
      </c>
      <c r="P292" s="22">
        <f>0.043*N292</f>
        <v>0</v>
      </c>
      <c r="Q292" s="23">
        <f>0.00009*N292</f>
        <v>0</v>
      </c>
      <c r="R292" s="24"/>
      <c r="S292" s="25" t="s">
        <v>1243</v>
      </c>
      <c r="T292" s="25" t="s">
        <v>94</v>
      </c>
      <c r="U292" s="5"/>
      <c r="V292" s="5" t="s">
        <v>1244</v>
      </c>
      <c r="W292" s="5" t="s">
        <v>46</v>
      </c>
      <c r="X292" s="5"/>
      <c r="Y292" s="5"/>
      <c r="Z292" s="5" t="str">
        <f>HYPERLINK("https://knigipp.ru/api/getInfo/image/be35efaa-0e3e-11f0-a279-00155d82e908")</f>
        <v>https://knigipp.ru/api/getInfo/image/be35efaa-0e3e-11f0-a279-00155d82e908</v>
      </c>
      <c r="AA292" s="33">
        <v>96</v>
      </c>
      <c r="AB292" s="5" t="s">
        <v>47</v>
      </c>
      <c r="AC292" s="5" t="s">
        <v>86</v>
      </c>
      <c r="AD292" s="5"/>
      <c r="AE292" s="5" t="s">
        <v>49</v>
      </c>
      <c r="AF292" s="5"/>
      <c r="AG292" s="5"/>
      <c r="AH292" s="5" t="s">
        <v>1239</v>
      </c>
    </row>
    <row r="293" spans="2:34" ht="21" customHeight="1" outlineLevel="5" x14ac:dyDescent="0.2">
      <c r="B293" s="4">
        <v>198</v>
      </c>
      <c r="C293" s="5" t="s">
        <v>1245</v>
      </c>
      <c r="D293" s="5" t="s">
        <v>1246</v>
      </c>
      <c r="E293" s="6" t="s">
        <v>1247</v>
      </c>
      <c r="F293" s="10"/>
      <c r="G293" s="11" t="s">
        <v>1236</v>
      </c>
      <c r="H293" s="12">
        <v>10</v>
      </c>
      <c r="I293" s="13" t="s">
        <v>41</v>
      </c>
      <c r="J293" s="13"/>
      <c r="K293" s="13"/>
      <c r="L293" s="4">
        <v>3</v>
      </c>
      <c r="M293" s="14">
        <f>227*(1-P3/100)</f>
        <v>227</v>
      </c>
      <c r="N293" s="15"/>
      <c r="O293" s="13">
        <f>M293*N293</f>
        <v>0</v>
      </c>
      <c r="P293" s="22">
        <f>0.043*N293</f>
        <v>0</v>
      </c>
      <c r="Q293" s="23">
        <f>0.00009*N293</f>
        <v>0</v>
      </c>
      <c r="R293" s="24"/>
      <c r="S293" s="25" t="s">
        <v>1248</v>
      </c>
      <c r="T293" s="25" t="s">
        <v>94</v>
      </c>
      <c r="U293" s="5"/>
      <c r="V293" s="5" t="s">
        <v>1249</v>
      </c>
      <c r="W293" s="5" t="s">
        <v>46</v>
      </c>
      <c r="X293" s="5"/>
      <c r="Y293" s="5"/>
      <c r="Z293" s="5" t="str">
        <f>HYPERLINK("https://knigipp.ru/api/getInfo/image/9e3c473d-0e3e-11f0-a279-00155d82e908")</f>
        <v>https://knigipp.ru/api/getInfo/image/9e3c473d-0e3e-11f0-a279-00155d82e908</v>
      </c>
      <c r="AA293" s="33">
        <v>96</v>
      </c>
      <c r="AB293" s="5" t="s">
        <v>47</v>
      </c>
      <c r="AC293" s="5" t="s">
        <v>86</v>
      </c>
      <c r="AD293" s="5"/>
      <c r="AE293" s="5" t="s">
        <v>49</v>
      </c>
      <c r="AF293" s="5"/>
      <c r="AG293" s="5"/>
      <c r="AH293" s="5" t="s">
        <v>1239</v>
      </c>
    </row>
    <row r="294" spans="2:34" ht="22.95" customHeight="1" outlineLevel="4" x14ac:dyDescent="0.2">
      <c r="B294" s="75" t="s">
        <v>1250</v>
      </c>
      <c r="C294" s="75"/>
      <c r="D294" s="75"/>
    </row>
    <row r="295" spans="2:34" ht="21" customHeight="1" outlineLevel="5" x14ac:dyDescent="0.2">
      <c r="B295" s="4">
        <v>199</v>
      </c>
      <c r="C295" s="5" t="s">
        <v>1251</v>
      </c>
      <c r="D295" s="5" t="s">
        <v>1252</v>
      </c>
      <c r="E295" s="6" t="s">
        <v>1253</v>
      </c>
      <c r="F295" s="10"/>
      <c r="G295" s="11" t="s">
        <v>1254</v>
      </c>
      <c r="H295" s="12">
        <v>10</v>
      </c>
      <c r="I295" s="13" t="s">
        <v>41</v>
      </c>
      <c r="J295" s="13"/>
      <c r="K295" s="13"/>
      <c r="L295" s="4">
        <v>8</v>
      </c>
      <c r="M295" s="14">
        <f>77*(1-P3/100)</f>
        <v>77</v>
      </c>
      <c r="N295" s="15"/>
      <c r="O295" s="13">
        <f>M295*N295</f>
        <v>0</v>
      </c>
      <c r="P295" s="22">
        <f>0.044*N295</f>
        <v>0</v>
      </c>
      <c r="Q295" s="23">
        <f>0.00013*N295</f>
        <v>0</v>
      </c>
      <c r="R295" s="24"/>
      <c r="S295" s="25" t="s">
        <v>1255</v>
      </c>
      <c r="T295" s="25" t="s">
        <v>94</v>
      </c>
      <c r="U295" s="5"/>
      <c r="V295" s="5" t="s">
        <v>1256</v>
      </c>
      <c r="W295" s="5" t="s">
        <v>46</v>
      </c>
      <c r="X295" s="5"/>
      <c r="Y295" s="5"/>
      <c r="Z295" s="5" t="str">
        <f>HYPERLINK("https://knigipp.ru/api/getInfo/image/18911587-3551-11ef-a261-00155d82e908")</f>
        <v>https://knigipp.ru/api/getInfo/image/18911587-3551-11ef-a261-00155d82e908</v>
      </c>
      <c r="AA295" s="33">
        <v>64</v>
      </c>
      <c r="AB295" s="5" t="s">
        <v>598</v>
      </c>
      <c r="AC295" s="5" t="s">
        <v>96</v>
      </c>
      <c r="AD295" s="5"/>
      <c r="AE295" s="5" t="s">
        <v>49</v>
      </c>
      <c r="AF295" s="5"/>
      <c r="AG295" s="5"/>
      <c r="AH295" s="5" t="s">
        <v>1257</v>
      </c>
    </row>
    <row r="296" spans="2:34" ht="21" customHeight="1" outlineLevel="5" x14ac:dyDescent="0.2">
      <c r="B296" s="4">
        <v>200</v>
      </c>
      <c r="C296" s="5" t="s">
        <v>1258</v>
      </c>
      <c r="D296" s="5" t="s">
        <v>1259</v>
      </c>
      <c r="E296" s="6" t="s">
        <v>1260</v>
      </c>
      <c r="F296" s="10"/>
      <c r="G296" s="11" t="s">
        <v>1254</v>
      </c>
      <c r="H296" s="12">
        <v>10</v>
      </c>
      <c r="I296" s="13" t="s">
        <v>41</v>
      </c>
      <c r="J296" s="13"/>
      <c r="K296" s="13"/>
      <c r="L296" s="4">
        <v>8</v>
      </c>
      <c r="M296" s="14">
        <f>77*(1-P3/100)</f>
        <v>77</v>
      </c>
      <c r="N296" s="15"/>
      <c r="O296" s="13">
        <f>M296*N296</f>
        <v>0</v>
      </c>
      <c r="P296" s="22">
        <f>0.051*N296</f>
        <v>0</v>
      </c>
      <c r="Q296" s="23">
        <f>0.00011*N296</f>
        <v>0</v>
      </c>
      <c r="R296" s="24"/>
      <c r="S296" s="25" t="s">
        <v>1261</v>
      </c>
      <c r="T296" s="25" t="s">
        <v>94</v>
      </c>
      <c r="U296" s="5"/>
      <c r="V296" s="5" t="s">
        <v>1262</v>
      </c>
      <c r="W296" s="5" t="s">
        <v>46</v>
      </c>
      <c r="X296" s="5"/>
      <c r="Y296" s="5"/>
      <c r="Z296" s="5" t="str">
        <f>HYPERLINK("https://knigipp.ru/api/getInfo/image/d5282050-3550-11ef-a261-00155d82e908")</f>
        <v>https://knigipp.ru/api/getInfo/image/d5282050-3550-11ef-a261-00155d82e908</v>
      </c>
      <c r="AA296" s="33">
        <v>64</v>
      </c>
      <c r="AB296" s="5" t="s">
        <v>598</v>
      </c>
      <c r="AC296" s="5" t="s">
        <v>96</v>
      </c>
      <c r="AD296" s="5"/>
      <c r="AE296" s="5" t="s">
        <v>49</v>
      </c>
      <c r="AF296" s="5"/>
      <c r="AG296" s="5"/>
      <c r="AH296" s="5" t="s">
        <v>1257</v>
      </c>
    </row>
    <row r="297" spans="2:34" ht="21" customHeight="1" outlineLevel="5" x14ac:dyDescent="0.2">
      <c r="B297" s="4">
        <v>201</v>
      </c>
      <c r="C297" s="5" t="s">
        <v>1263</v>
      </c>
      <c r="D297" s="5" t="s">
        <v>1264</v>
      </c>
      <c r="E297" s="6" t="s">
        <v>1265</v>
      </c>
      <c r="F297" s="10"/>
      <c r="G297" s="11" t="s">
        <v>1254</v>
      </c>
      <c r="H297" s="12">
        <v>10</v>
      </c>
      <c r="I297" s="13" t="s">
        <v>41</v>
      </c>
      <c r="J297" s="13"/>
      <c r="K297" s="13"/>
      <c r="L297" s="4">
        <v>8</v>
      </c>
      <c r="M297" s="14">
        <f>77*(1-P3/100)</f>
        <v>77</v>
      </c>
      <c r="N297" s="15"/>
      <c r="O297" s="13">
        <f>M297*N297</f>
        <v>0</v>
      </c>
      <c r="P297" s="22">
        <f>0.044*N297</f>
        <v>0</v>
      </c>
      <c r="Q297" s="23">
        <f>0.00013*N297</f>
        <v>0</v>
      </c>
      <c r="R297" s="24"/>
      <c r="S297" s="25" t="s">
        <v>1266</v>
      </c>
      <c r="T297" s="25" t="s">
        <v>94</v>
      </c>
      <c r="U297" s="5"/>
      <c r="V297" s="5" t="s">
        <v>1267</v>
      </c>
      <c r="W297" s="5" t="s">
        <v>46</v>
      </c>
      <c r="X297" s="5"/>
      <c r="Y297" s="5"/>
      <c r="Z297" s="5" t="str">
        <f>HYPERLINK("https://knigipp.ru/api/getInfo/image/3de76814-3551-11ef-a261-00155d82e908")</f>
        <v>https://knigipp.ru/api/getInfo/image/3de76814-3551-11ef-a261-00155d82e908</v>
      </c>
      <c r="AA297" s="33">
        <v>64</v>
      </c>
      <c r="AB297" s="5" t="s">
        <v>598</v>
      </c>
      <c r="AC297" s="5" t="s">
        <v>96</v>
      </c>
      <c r="AD297" s="5"/>
      <c r="AE297" s="5" t="s">
        <v>49</v>
      </c>
      <c r="AF297" s="5"/>
      <c r="AG297" s="5"/>
      <c r="AH297" s="5" t="s">
        <v>1257</v>
      </c>
    </row>
    <row r="298" spans="2:34" ht="21" customHeight="1" outlineLevel="5" x14ac:dyDescent="0.2">
      <c r="B298" s="4">
        <v>202</v>
      </c>
      <c r="C298" s="5" t="s">
        <v>1268</v>
      </c>
      <c r="D298" s="5" t="s">
        <v>1269</v>
      </c>
      <c r="E298" s="6" t="s">
        <v>1270</v>
      </c>
      <c r="F298" s="10"/>
      <c r="G298" s="11" t="s">
        <v>1254</v>
      </c>
      <c r="H298" s="12">
        <v>10</v>
      </c>
      <c r="I298" s="13" t="s">
        <v>41</v>
      </c>
      <c r="J298" s="13"/>
      <c r="K298" s="13"/>
      <c r="L298" s="4">
        <v>8</v>
      </c>
      <c r="M298" s="14">
        <f>77*(1-P3/100)</f>
        <v>77</v>
      </c>
      <c r="N298" s="15"/>
      <c r="O298" s="13">
        <f>M298*N298</f>
        <v>0</v>
      </c>
      <c r="P298" s="22">
        <f>0.047*N298</f>
        <v>0</v>
      </c>
      <c r="Q298" s="23">
        <f>0.00013*N298</f>
        <v>0</v>
      </c>
      <c r="R298" s="24"/>
      <c r="S298" s="25" t="s">
        <v>1271</v>
      </c>
      <c r="T298" s="25" t="s">
        <v>94</v>
      </c>
      <c r="U298" s="5"/>
      <c r="V298" s="5" t="s">
        <v>1272</v>
      </c>
      <c r="W298" s="5" t="s">
        <v>46</v>
      </c>
      <c r="X298" s="5"/>
      <c r="Y298" s="5"/>
      <c r="Z298" s="5" t="str">
        <f>HYPERLINK("https://knigipp.ru/api/getInfo/image/001035cb-3551-11ef-a261-00155d82e908")</f>
        <v>https://knigipp.ru/api/getInfo/image/001035cb-3551-11ef-a261-00155d82e908</v>
      </c>
      <c r="AA298" s="33">
        <v>64</v>
      </c>
      <c r="AB298" s="5" t="s">
        <v>598</v>
      </c>
      <c r="AC298" s="5" t="s">
        <v>96</v>
      </c>
      <c r="AD298" s="5"/>
      <c r="AE298" s="5" t="s">
        <v>49</v>
      </c>
      <c r="AF298" s="5"/>
      <c r="AG298" s="5"/>
      <c r="AH298" s="5" t="s">
        <v>1257</v>
      </c>
    </row>
    <row r="299" spans="2:34" ht="22.95" customHeight="1" outlineLevel="4" x14ac:dyDescent="0.2">
      <c r="B299" s="75" t="s">
        <v>1273</v>
      </c>
      <c r="C299" s="75"/>
      <c r="D299" s="75"/>
    </row>
    <row r="300" spans="2:34" ht="21" customHeight="1" outlineLevel="5" x14ac:dyDescent="0.2">
      <c r="B300" s="4">
        <v>203</v>
      </c>
      <c r="C300" s="5" t="s">
        <v>1274</v>
      </c>
      <c r="D300" s="5" t="s">
        <v>1275</v>
      </c>
      <c r="E300" s="6" t="s">
        <v>1276</v>
      </c>
      <c r="F300" s="10"/>
      <c r="G300" s="11" t="s">
        <v>1218</v>
      </c>
      <c r="H300" s="12">
        <v>10</v>
      </c>
      <c r="I300" s="13" t="s">
        <v>41</v>
      </c>
      <c r="J300" s="13"/>
      <c r="K300" s="13"/>
      <c r="L300" s="4">
        <v>7</v>
      </c>
      <c r="M300" s="14">
        <f>99*(1-P3/100)</f>
        <v>99</v>
      </c>
      <c r="N300" s="15"/>
      <c r="O300" s="13">
        <f>M300*N300</f>
        <v>0</v>
      </c>
      <c r="P300" s="13">
        <v>0</v>
      </c>
      <c r="Q300" s="13">
        <v>0</v>
      </c>
      <c r="R300" s="24"/>
      <c r="S300" s="25" t="s">
        <v>1277</v>
      </c>
      <c r="T300" s="25" t="s">
        <v>94</v>
      </c>
      <c r="U300" s="5"/>
      <c r="V300" s="5" t="s">
        <v>1278</v>
      </c>
      <c r="W300" s="5" t="s">
        <v>46</v>
      </c>
      <c r="X300" s="5"/>
      <c r="Y300" s="5"/>
      <c r="Z300" s="5" t="str">
        <f>HYPERLINK("https://knigipp.ru/api/getInfo/image/444f5d31-0c3e-11ef-a25d-00155d82e908")</f>
        <v>https://knigipp.ru/api/getInfo/image/444f5d31-0c3e-11ef-a25d-00155d82e908</v>
      </c>
      <c r="AA300" s="33">
        <v>80</v>
      </c>
      <c r="AB300" s="5" t="s">
        <v>47</v>
      </c>
      <c r="AC300" s="5" t="s">
        <v>96</v>
      </c>
      <c r="AD300" s="5"/>
      <c r="AE300" s="5" t="s">
        <v>49</v>
      </c>
      <c r="AF300" s="5"/>
      <c r="AG300" s="5"/>
      <c r="AH300" s="5" t="s">
        <v>740</v>
      </c>
    </row>
    <row r="301" spans="2:34" ht="22.95" customHeight="1" outlineLevel="3" x14ac:dyDescent="0.2">
      <c r="B301" s="74" t="s">
        <v>1279</v>
      </c>
      <c r="C301" s="74"/>
      <c r="D301" s="74"/>
    </row>
    <row r="302" spans="2:34" ht="22.95" customHeight="1" outlineLevel="4" x14ac:dyDescent="0.2">
      <c r="B302" s="75" t="s">
        <v>1280</v>
      </c>
      <c r="C302" s="75"/>
      <c r="D302" s="75"/>
    </row>
    <row r="303" spans="2:34" ht="21" customHeight="1" outlineLevel="5" x14ac:dyDescent="0.2">
      <c r="B303" s="4">
        <v>204</v>
      </c>
      <c r="C303" s="5" t="s">
        <v>1281</v>
      </c>
      <c r="D303" s="5" t="s">
        <v>1282</v>
      </c>
      <c r="E303" s="6" t="s">
        <v>1283</v>
      </c>
      <c r="F303" s="10"/>
      <c r="G303" s="11" t="s">
        <v>1284</v>
      </c>
      <c r="H303" s="12">
        <v>20</v>
      </c>
      <c r="I303" s="13" t="s">
        <v>41</v>
      </c>
      <c r="J303" s="13"/>
      <c r="K303" s="13"/>
      <c r="L303" s="4">
        <v>3</v>
      </c>
      <c r="M303" s="14">
        <f>199*(1-P3/100)</f>
        <v>199</v>
      </c>
      <c r="N303" s="15"/>
      <c r="O303" s="13">
        <f>M303*N303</f>
        <v>0</v>
      </c>
      <c r="P303" s="22">
        <f>0.241*N303</f>
        <v>0</v>
      </c>
      <c r="Q303" s="23">
        <f>0.00018*N303</f>
        <v>0</v>
      </c>
      <c r="R303" s="24"/>
      <c r="S303" s="25" t="s">
        <v>1285</v>
      </c>
      <c r="T303" s="25" t="s">
        <v>94</v>
      </c>
      <c r="U303" s="5"/>
      <c r="V303" s="5"/>
      <c r="W303" s="5" t="s">
        <v>46</v>
      </c>
      <c r="X303" s="5"/>
      <c r="Y303" s="5"/>
      <c r="Z303" s="5" t="str">
        <f>HYPERLINK("https://knigipp.ru/api/getInfo/image/b153f90b-b80d-11ed-a230-00155d82e902")</f>
        <v>https://knigipp.ru/api/getInfo/image/b153f90b-b80d-11ed-a230-00155d82e902</v>
      </c>
      <c r="AA303" s="33">
        <v>128</v>
      </c>
      <c r="AB303" s="5" t="s">
        <v>574</v>
      </c>
      <c r="AC303" s="5" t="s">
        <v>86</v>
      </c>
      <c r="AD303" s="5"/>
      <c r="AE303" s="5" t="s">
        <v>49</v>
      </c>
      <c r="AF303" s="5"/>
      <c r="AG303" s="5"/>
      <c r="AH303" s="5" t="s">
        <v>1286</v>
      </c>
    </row>
    <row r="304" spans="2:34" ht="22.95" customHeight="1" outlineLevel="4" x14ac:dyDescent="0.2">
      <c r="B304" s="75" t="s">
        <v>1287</v>
      </c>
      <c r="C304" s="75"/>
      <c r="D304" s="75"/>
    </row>
    <row r="305" spans="2:34" ht="21" customHeight="1" outlineLevel="5" x14ac:dyDescent="0.2">
      <c r="B305" s="4">
        <v>205</v>
      </c>
      <c r="C305" s="5" t="s">
        <v>1288</v>
      </c>
      <c r="D305" s="5" t="s">
        <v>1289</v>
      </c>
      <c r="E305" s="6" t="s">
        <v>1290</v>
      </c>
      <c r="F305" s="10"/>
      <c r="G305" s="11" t="s">
        <v>1291</v>
      </c>
      <c r="H305" s="12">
        <v>10</v>
      </c>
      <c r="I305" s="13" t="s">
        <v>41</v>
      </c>
      <c r="J305" s="13"/>
      <c r="K305" s="13"/>
      <c r="L305" s="4">
        <v>7</v>
      </c>
      <c r="M305" s="14">
        <f>99*(1-P3/100)</f>
        <v>99</v>
      </c>
      <c r="N305" s="15"/>
      <c r="O305" s="13">
        <f>M305*N305</f>
        <v>0</v>
      </c>
      <c r="P305" s="22">
        <f>0.145*N305</f>
        <v>0</v>
      </c>
      <c r="Q305" s="23">
        <f>0.00007*N305</f>
        <v>0</v>
      </c>
      <c r="R305" s="24"/>
      <c r="S305" s="25" t="s">
        <v>1292</v>
      </c>
      <c r="T305" s="25" t="s">
        <v>94</v>
      </c>
      <c r="U305" s="5"/>
      <c r="V305" s="5" t="s">
        <v>1293</v>
      </c>
      <c r="W305" s="5" t="s">
        <v>46</v>
      </c>
      <c r="X305" s="5"/>
      <c r="Y305" s="5"/>
      <c r="Z305" s="5" t="str">
        <f>HYPERLINK("https://knigipp.ru/api/getInfo/image/8bfb6e4a-9028-11ee-a250-00155d82e908")</f>
        <v>https://knigipp.ru/api/getInfo/image/8bfb6e4a-9028-11ee-a250-00155d82e908</v>
      </c>
      <c r="AA305" s="33">
        <v>80</v>
      </c>
      <c r="AB305" s="5" t="s">
        <v>574</v>
      </c>
      <c r="AC305" s="5" t="s">
        <v>96</v>
      </c>
      <c r="AD305" s="5"/>
      <c r="AE305" s="5" t="s">
        <v>49</v>
      </c>
      <c r="AF305" s="5"/>
      <c r="AG305" s="5"/>
      <c r="AH305" s="5" t="s">
        <v>740</v>
      </c>
    </row>
    <row r="306" spans="2:34" ht="21" customHeight="1" outlineLevel="5" x14ac:dyDescent="0.2">
      <c r="B306" s="4">
        <v>206</v>
      </c>
      <c r="C306" s="5" t="s">
        <v>1294</v>
      </c>
      <c r="D306" s="5" t="s">
        <v>1295</v>
      </c>
      <c r="E306" s="6" t="s">
        <v>1296</v>
      </c>
      <c r="F306" s="10"/>
      <c r="G306" s="11" t="s">
        <v>1291</v>
      </c>
      <c r="H306" s="12">
        <v>10</v>
      </c>
      <c r="I306" s="13" t="s">
        <v>41</v>
      </c>
      <c r="J306" s="13"/>
      <c r="K306" s="13"/>
      <c r="L306" s="4">
        <v>7</v>
      </c>
      <c r="M306" s="14">
        <f>99*(1-P3/100)</f>
        <v>99</v>
      </c>
      <c r="N306" s="15"/>
      <c r="O306" s="13">
        <f>M306*N306</f>
        <v>0</v>
      </c>
      <c r="P306" s="22">
        <f>0.135*N306</f>
        <v>0</v>
      </c>
      <c r="Q306" s="23">
        <f>0.00007*N306</f>
        <v>0</v>
      </c>
      <c r="R306" s="24"/>
      <c r="S306" s="25" t="s">
        <v>1297</v>
      </c>
      <c r="T306" s="25" t="s">
        <v>94</v>
      </c>
      <c r="U306" s="5"/>
      <c r="V306" s="5" t="s">
        <v>1298</v>
      </c>
      <c r="W306" s="5" t="s">
        <v>46</v>
      </c>
      <c r="X306" s="5"/>
      <c r="Y306" s="5"/>
      <c r="Z306" s="5" t="str">
        <f>HYPERLINK("https://knigipp.ru/api/getInfo/image/440cc7ee-9029-11ee-a250-00155d82e908")</f>
        <v>https://knigipp.ru/api/getInfo/image/440cc7ee-9029-11ee-a250-00155d82e908</v>
      </c>
      <c r="AA306" s="33">
        <v>80</v>
      </c>
      <c r="AB306" s="5" t="s">
        <v>574</v>
      </c>
      <c r="AC306" s="5" t="s">
        <v>96</v>
      </c>
      <c r="AD306" s="5"/>
      <c r="AE306" s="5" t="s">
        <v>49</v>
      </c>
      <c r="AF306" s="5"/>
      <c r="AG306" s="5"/>
      <c r="AH306" s="5" t="s">
        <v>740</v>
      </c>
    </row>
    <row r="307" spans="2:34" ht="21" customHeight="1" outlineLevel="5" x14ac:dyDescent="0.2">
      <c r="B307" s="4">
        <v>207</v>
      </c>
      <c r="C307" s="5" t="s">
        <v>1299</v>
      </c>
      <c r="D307" s="5" t="s">
        <v>1300</v>
      </c>
      <c r="E307" s="6" t="s">
        <v>1301</v>
      </c>
      <c r="F307" s="10"/>
      <c r="G307" s="11" t="s">
        <v>1291</v>
      </c>
      <c r="H307" s="12">
        <v>10</v>
      </c>
      <c r="I307" s="13" t="s">
        <v>41</v>
      </c>
      <c r="J307" s="13"/>
      <c r="K307" s="13"/>
      <c r="L307" s="4">
        <v>7</v>
      </c>
      <c r="M307" s="14">
        <f>99*(1-P3/100)</f>
        <v>99</v>
      </c>
      <c r="N307" s="15"/>
      <c r="O307" s="13">
        <f>M307*N307</f>
        <v>0</v>
      </c>
      <c r="P307" s="32">
        <f>0.12*N307</f>
        <v>0</v>
      </c>
      <c r="Q307" s="23">
        <f>0.00041*N307</f>
        <v>0</v>
      </c>
      <c r="R307" s="24"/>
      <c r="S307" s="25" t="s">
        <v>1302</v>
      </c>
      <c r="T307" s="25" t="s">
        <v>94</v>
      </c>
      <c r="U307" s="5"/>
      <c r="V307" s="5" t="s">
        <v>1303</v>
      </c>
      <c r="W307" s="5" t="s">
        <v>46</v>
      </c>
      <c r="X307" s="5"/>
      <c r="Y307" s="5"/>
      <c r="Z307" s="5" t="str">
        <f>HYPERLINK("https://knigipp.ru/api/getInfo/image/eb2b0f26-9029-11ee-a250-00155d82e908")</f>
        <v>https://knigipp.ru/api/getInfo/image/eb2b0f26-9029-11ee-a250-00155d82e908</v>
      </c>
      <c r="AA307" s="33">
        <v>80</v>
      </c>
      <c r="AB307" s="5" t="s">
        <v>574</v>
      </c>
      <c r="AC307" s="5" t="s">
        <v>96</v>
      </c>
      <c r="AD307" s="5"/>
      <c r="AE307" s="5" t="s">
        <v>49</v>
      </c>
      <c r="AF307" s="5"/>
      <c r="AG307" s="5"/>
      <c r="AH307" s="5" t="s">
        <v>740</v>
      </c>
    </row>
    <row r="308" spans="2:34" ht="21" customHeight="1" outlineLevel="5" x14ac:dyDescent="0.2">
      <c r="B308" s="4">
        <v>208</v>
      </c>
      <c r="C308" s="5" t="s">
        <v>1304</v>
      </c>
      <c r="D308" s="5" t="s">
        <v>1305</v>
      </c>
      <c r="E308" s="6" t="s">
        <v>1306</v>
      </c>
      <c r="F308" s="10"/>
      <c r="G308" s="11" t="s">
        <v>1291</v>
      </c>
      <c r="H308" s="12">
        <v>10</v>
      </c>
      <c r="I308" s="13" t="s">
        <v>41</v>
      </c>
      <c r="J308" s="13"/>
      <c r="K308" s="13"/>
      <c r="L308" s="4">
        <v>7</v>
      </c>
      <c r="M308" s="14">
        <f>99*(1-P3/100)</f>
        <v>99</v>
      </c>
      <c r="N308" s="15"/>
      <c r="O308" s="13">
        <f>M308*N308</f>
        <v>0</v>
      </c>
      <c r="P308" s="22">
        <f>0.145*N308</f>
        <v>0</v>
      </c>
      <c r="Q308" s="23">
        <f>0.00007*N308</f>
        <v>0</v>
      </c>
      <c r="R308" s="24"/>
      <c r="S308" s="25" t="s">
        <v>1307</v>
      </c>
      <c r="T308" s="25" t="s">
        <v>94</v>
      </c>
      <c r="U308" s="5"/>
      <c r="V308" s="5" t="s">
        <v>1308</v>
      </c>
      <c r="W308" s="5" t="s">
        <v>46</v>
      </c>
      <c r="X308" s="5"/>
      <c r="Y308" s="5"/>
      <c r="Z308" s="5" t="str">
        <f>HYPERLINK("https://knigipp.ru/api/getInfo/image/818365e5-902a-11ee-a250-00155d82e908")</f>
        <v>https://knigipp.ru/api/getInfo/image/818365e5-902a-11ee-a250-00155d82e908</v>
      </c>
      <c r="AA308" s="33">
        <v>80</v>
      </c>
      <c r="AB308" s="5" t="s">
        <v>574</v>
      </c>
      <c r="AC308" s="5" t="s">
        <v>96</v>
      </c>
      <c r="AD308" s="5"/>
      <c r="AE308" s="5" t="s">
        <v>49</v>
      </c>
      <c r="AF308" s="5"/>
      <c r="AG308" s="5"/>
      <c r="AH308" s="5" t="s">
        <v>740</v>
      </c>
    </row>
    <row r="309" spans="2:34" ht="22.95" customHeight="1" outlineLevel="4" x14ac:dyDescent="0.2">
      <c r="B309" s="75" t="s">
        <v>1309</v>
      </c>
      <c r="C309" s="75"/>
      <c r="D309" s="75"/>
    </row>
    <row r="310" spans="2:34" ht="21" customHeight="1" outlineLevel="5" x14ac:dyDescent="0.2">
      <c r="B310" s="4">
        <v>209</v>
      </c>
      <c r="C310" s="5" t="s">
        <v>1310</v>
      </c>
      <c r="D310" s="5" t="s">
        <v>1311</v>
      </c>
      <c r="E310" s="6" t="s">
        <v>1312</v>
      </c>
      <c r="F310" s="10"/>
      <c r="G310" s="11" t="s">
        <v>1313</v>
      </c>
      <c r="H310" s="12">
        <v>10</v>
      </c>
      <c r="I310" s="13" t="s">
        <v>41</v>
      </c>
      <c r="J310" s="13"/>
      <c r="K310" s="13"/>
      <c r="L310" s="4">
        <v>7</v>
      </c>
      <c r="M310" s="14">
        <f>89*(1-P3/100)</f>
        <v>89</v>
      </c>
      <c r="N310" s="15"/>
      <c r="O310" s="13">
        <f>M310*N310</f>
        <v>0</v>
      </c>
      <c r="P310" s="22">
        <f>0.098*N310</f>
        <v>0</v>
      </c>
      <c r="Q310" s="23">
        <f>0.00025*N310</f>
        <v>0</v>
      </c>
      <c r="R310" s="24"/>
      <c r="S310" s="25" t="s">
        <v>1314</v>
      </c>
      <c r="T310" s="25" t="s">
        <v>94</v>
      </c>
      <c r="U310" s="5"/>
      <c r="V310" s="5"/>
      <c r="W310" s="5" t="s">
        <v>46</v>
      </c>
      <c r="X310" s="5" t="s">
        <v>786</v>
      </c>
      <c r="Y310" s="5"/>
      <c r="Z310" s="5" t="str">
        <f>HYPERLINK("https://knigipp.ru/api/getInfo/image/ec298d65-900b-11ee-a250-00155d82e908")</f>
        <v>https://knigipp.ru/api/getInfo/image/ec298d65-900b-11ee-a250-00155d82e908</v>
      </c>
      <c r="AA310" s="33">
        <v>80</v>
      </c>
      <c r="AB310" s="5" t="s">
        <v>574</v>
      </c>
      <c r="AC310" s="5" t="s">
        <v>96</v>
      </c>
      <c r="AD310" s="5"/>
      <c r="AE310" s="5" t="s">
        <v>49</v>
      </c>
      <c r="AF310" s="5"/>
      <c r="AG310" s="5"/>
      <c r="AH310" s="5" t="s">
        <v>1315</v>
      </c>
    </row>
    <row r="311" spans="2:34" ht="21" customHeight="1" outlineLevel="5" x14ac:dyDescent="0.2">
      <c r="B311" s="4">
        <v>210</v>
      </c>
      <c r="C311" s="5" t="s">
        <v>1316</v>
      </c>
      <c r="D311" s="5" t="s">
        <v>1317</v>
      </c>
      <c r="E311" s="6" t="s">
        <v>1318</v>
      </c>
      <c r="F311" s="10"/>
      <c r="G311" s="11" t="s">
        <v>1313</v>
      </c>
      <c r="H311" s="12">
        <v>10</v>
      </c>
      <c r="I311" s="13" t="s">
        <v>41</v>
      </c>
      <c r="J311" s="13"/>
      <c r="K311" s="13"/>
      <c r="L311" s="4">
        <v>7</v>
      </c>
      <c r="M311" s="14">
        <f>89*(1-P3/100)</f>
        <v>89</v>
      </c>
      <c r="N311" s="15"/>
      <c r="O311" s="13">
        <f>M311*N311</f>
        <v>0</v>
      </c>
      <c r="P311" s="22">
        <f>0.097*N311</f>
        <v>0</v>
      </c>
      <c r="Q311" s="30">
        <f>0.0003*N311</f>
        <v>0</v>
      </c>
      <c r="R311" s="24"/>
      <c r="S311" s="25" t="s">
        <v>1319</v>
      </c>
      <c r="T311" s="25" t="s">
        <v>94</v>
      </c>
      <c r="U311" s="5"/>
      <c r="V311" s="5"/>
      <c r="W311" s="5" t="s">
        <v>46</v>
      </c>
      <c r="X311" s="5" t="s">
        <v>786</v>
      </c>
      <c r="Y311" s="5"/>
      <c r="Z311" s="5" t="str">
        <f>HYPERLINK("https://knigipp.ru/api/getInfo/image/42aec79b-900c-11ee-a250-00155d82e908")</f>
        <v>https://knigipp.ru/api/getInfo/image/42aec79b-900c-11ee-a250-00155d82e908</v>
      </c>
      <c r="AA311" s="33">
        <v>80</v>
      </c>
      <c r="AB311" s="5" t="s">
        <v>574</v>
      </c>
      <c r="AC311" s="5" t="s">
        <v>96</v>
      </c>
      <c r="AD311" s="5"/>
      <c r="AE311" s="5" t="s">
        <v>49</v>
      </c>
      <c r="AF311" s="5"/>
      <c r="AG311" s="5"/>
      <c r="AH311" s="5" t="s">
        <v>1315</v>
      </c>
    </row>
    <row r="312" spans="2:34" ht="21" customHeight="1" outlineLevel="5" x14ac:dyDescent="0.2">
      <c r="B312" s="4">
        <v>211</v>
      </c>
      <c r="C312" s="5" t="s">
        <v>1320</v>
      </c>
      <c r="D312" s="5" t="s">
        <v>1321</v>
      </c>
      <c r="E312" s="6" t="s">
        <v>1322</v>
      </c>
      <c r="F312" s="10"/>
      <c r="G312" s="11" t="s">
        <v>1313</v>
      </c>
      <c r="H312" s="12">
        <v>10</v>
      </c>
      <c r="I312" s="13" t="s">
        <v>41</v>
      </c>
      <c r="J312" s="13"/>
      <c r="K312" s="13"/>
      <c r="L312" s="4">
        <v>7</v>
      </c>
      <c r="M312" s="14">
        <f>89*(1-P3/100)</f>
        <v>89</v>
      </c>
      <c r="N312" s="15"/>
      <c r="O312" s="13">
        <f>M312*N312</f>
        <v>0</v>
      </c>
      <c r="P312" s="22">
        <f>0.097*N312</f>
        <v>0</v>
      </c>
      <c r="Q312" s="23">
        <f>0.00024*N312</f>
        <v>0</v>
      </c>
      <c r="R312" s="24"/>
      <c r="S312" s="25" t="s">
        <v>1323</v>
      </c>
      <c r="T312" s="25" t="s">
        <v>94</v>
      </c>
      <c r="U312" s="5"/>
      <c r="V312" s="5" t="s">
        <v>1324</v>
      </c>
      <c r="W312" s="5" t="s">
        <v>46</v>
      </c>
      <c r="X312" s="5"/>
      <c r="Y312" s="5"/>
      <c r="Z312" s="5" t="str">
        <f>HYPERLINK("https://knigipp.ru/api/getInfo/image/d4f87e86-facd-11ed-a239-00155d82e902")</f>
        <v>https://knigipp.ru/api/getInfo/image/d4f87e86-facd-11ed-a239-00155d82e902</v>
      </c>
      <c r="AA312" s="33">
        <v>80</v>
      </c>
      <c r="AB312" s="5" t="s">
        <v>574</v>
      </c>
      <c r="AC312" s="5" t="s">
        <v>96</v>
      </c>
      <c r="AD312" s="5"/>
      <c r="AE312" s="5" t="s">
        <v>49</v>
      </c>
      <c r="AF312" s="5"/>
      <c r="AG312" s="5"/>
      <c r="AH312" s="5" t="s">
        <v>1315</v>
      </c>
    </row>
    <row r="313" spans="2:34" ht="21" customHeight="1" outlineLevel="5" x14ac:dyDescent="0.2">
      <c r="B313" s="4">
        <v>212</v>
      </c>
      <c r="C313" s="5" t="s">
        <v>1325</v>
      </c>
      <c r="D313" s="5" t="s">
        <v>1326</v>
      </c>
      <c r="E313" s="6" t="s">
        <v>1327</v>
      </c>
      <c r="F313" s="10"/>
      <c r="G313" s="11" t="s">
        <v>1313</v>
      </c>
      <c r="H313" s="12">
        <v>10</v>
      </c>
      <c r="I313" s="13" t="s">
        <v>41</v>
      </c>
      <c r="J313" s="13"/>
      <c r="K313" s="13"/>
      <c r="L313" s="4">
        <v>7</v>
      </c>
      <c r="M313" s="14">
        <f>89*(1-P3/100)</f>
        <v>89</v>
      </c>
      <c r="N313" s="15"/>
      <c r="O313" s="13">
        <f>M313*N313</f>
        <v>0</v>
      </c>
      <c r="P313" s="22">
        <f>0.099*N313</f>
        <v>0</v>
      </c>
      <c r="Q313" s="23">
        <f>0.00052*N313</f>
        <v>0</v>
      </c>
      <c r="R313" s="24"/>
      <c r="S313" s="25" t="s">
        <v>1328</v>
      </c>
      <c r="T313" s="25" t="s">
        <v>94</v>
      </c>
      <c r="U313" s="5"/>
      <c r="V313" s="5" t="s">
        <v>1329</v>
      </c>
      <c r="W313" s="5" t="s">
        <v>46</v>
      </c>
      <c r="X313" s="5"/>
      <c r="Y313" s="5"/>
      <c r="Z313" s="5" t="str">
        <f>HYPERLINK("https://knigipp.ru/api/getInfo/image/a239f695-face-11ed-a239-00155d82e902")</f>
        <v>https://knigipp.ru/api/getInfo/image/a239f695-face-11ed-a239-00155d82e902</v>
      </c>
      <c r="AA313" s="33">
        <v>80</v>
      </c>
      <c r="AB313" s="5" t="s">
        <v>574</v>
      </c>
      <c r="AC313" s="5" t="s">
        <v>96</v>
      </c>
      <c r="AD313" s="5"/>
      <c r="AE313" s="5" t="s">
        <v>49</v>
      </c>
      <c r="AF313" s="5"/>
      <c r="AG313" s="5"/>
      <c r="AH313" s="5" t="s">
        <v>1315</v>
      </c>
    </row>
    <row r="314" spans="2:34" ht="22.95" customHeight="1" outlineLevel="4" x14ac:dyDescent="0.2">
      <c r="B314" s="75" t="s">
        <v>1330</v>
      </c>
      <c r="C314" s="75"/>
      <c r="D314" s="75"/>
    </row>
    <row r="315" spans="2:34" ht="21" customHeight="1" outlineLevel="5" x14ac:dyDescent="0.2">
      <c r="B315" s="4">
        <v>213</v>
      </c>
      <c r="C315" s="5" t="s">
        <v>1331</v>
      </c>
      <c r="D315" s="5" t="s">
        <v>1332</v>
      </c>
      <c r="E315" s="6" t="s">
        <v>1333</v>
      </c>
      <c r="F315" s="10"/>
      <c r="G315" s="11"/>
      <c r="H315" s="12">
        <v>10</v>
      </c>
      <c r="I315" s="13" t="s">
        <v>41</v>
      </c>
      <c r="J315" s="13"/>
      <c r="K315" s="13"/>
      <c r="L315" s="4">
        <v>5</v>
      </c>
      <c r="M315" s="14">
        <f>117*(1-P3/100)</f>
        <v>117</v>
      </c>
      <c r="N315" s="15"/>
      <c r="O315" s="13">
        <f>M315*N315</f>
        <v>0</v>
      </c>
      <c r="P315" s="13">
        <v>0</v>
      </c>
      <c r="Q315" s="13">
        <v>0</v>
      </c>
      <c r="R315" s="24"/>
      <c r="S315" s="25" t="s">
        <v>1334</v>
      </c>
      <c r="T315" s="25" t="s">
        <v>94</v>
      </c>
      <c r="U315" s="5"/>
      <c r="V315" s="5" t="s">
        <v>1335</v>
      </c>
      <c r="W315" s="5" t="s">
        <v>46</v>
      </c>
      <c r="X315" s="5"/>
      <c r="Y315" s="5"/>
      <c r="Z315" s="5" t="str">
        <f>HYPERLINK("https://knigipp.ru/api/getInfo/image/f9acae23-bf69-11ee-a25a-00155d82e908")</f>
        <v>https://knigipp.ru/api/getInfo/image/f9acae23-bf69-11ee-a25a-00155d82e908</v>
      </c>
      <c r="AA315" s="33">
        <v>80</v>
      </c>
      <c r="AB315" s="5" t="s">
        <v>85</v>
      </c>
      <c r="AC315" s="5" t="s">
        <v>96</v>
      </c>
      <c r="AD315" s="5"/>
      <c r="AE315" s="5" t="s">
        <v>49</v>
      </c>
      <c r="AF315" s="5"/>
      <c r="AG315" s="5"/>
      <c r="AH315" s="5" t="s">
        <v>740</v>
      </c>
    </row>
    <row r="316" spans="2:34" ht="21" customHeight="1" outlineLevel="5" x14ac:dyDescent="0.2">
      <c r="B316" s="4">
        <v>214</v>
      </c>
      <c r="C316" s="5" t="s">
        <v>1336</v>
      </c>
      <c r="D316" s="5" t="s">
        <v>1337</v>
      </c>
      <c r="E316" s="6" t="s">
        <v>1338</v>
      </c>
      <c r="F316" s="10"/>
      <c r="G316" s="11"/>
      <c r="H316" s="12">
        <v>10</v>
      </c>
      <c r="I316" s="13" t="s">
        <v>41</v>
      </c>
      <c r="J316" s="13"/>
      <c r="K316" s="13"/>
      <c r="L316" s="4">
        <v>5</v>
      </c>
      <c r="M316" s="14">
        <f>117*(1-P3/100)</f>
        <v>117</v>
      </c>
      <c r="N316" s="15"/>
      <c r="O316" s="13">
        <f>M316*N316</f>
        <v>0</v>
      </c>
      <c r="P316" s="13">
        <v>0</v>
      </c>
      <c r="Q316" s="13">
        <v>0</v>
      </c>
      <c r="R316" s="24"/>
      <c r="S316" s="25" t="s">
        <v>1339</v>
      </c>
      <c r="T316" s="25" t="s">
        <v>94</v>
      </c>
      <c r="U316" s="5"/>
      <c r="V316" s="5" t="s">
        <v>1340</v>
      </c>
      <c r="W316" s="5" t="s">
        <v>46</v>
      </c>
      <c r="X316" s="5" t="s">
        <v>992</v>
      </c>
      <c r="Y316" s="5"/>
      <c r="Z316" s="5" t="str">
        <f>HYPERLINK("https://knigipp.ru/api/getInfo/image/5be49ff7-bf6a-11ee-a25a-00155d82e908")</f>
        <v>https://knigipp.ru/api/getInfo/image/5be49ff7-bf6a-11ee-a25a-00155d82e908</v>
      </c>
      <c r="AA316" s="33">
        <v>80</v>
      </c>
      <c r="AB316" s="5" t="s">
        <v>85</v>
      </c>
      <c r="AC316" s="5" t="s">
        <v>96</v>
      </c>
      <c r="AD316" s="5"/>
      <c r="AE316" s="5" t="s">
        <v>49</v>
      </c>
      <c r="AF316" s="5"/>
      <c r="AG316" s="5"/>
      <c r="AH316" s="5" t="s">
        <v>740</v>
      </c>
    </row>
    <row r="317" spans="2:34" ht="21" customHeight="1" outlineLevel="5" x14ac:dyDescent="0.2">
      <c r="B317" s="4">
        <v>215</v>
      </c>
      <c r="C317" s="5" t="s">
        <v>1341</v>
      </c>
      <c r="D317" s="5" t="s">
        <v>1342</v>
      </c>
      <c r="E317" s="6" t="s">
        <v>1343</v>
      </c>
      <c r="F317" s="10"/>
      <c r="G317" s="11"/>
      <c r="H317" s="12">
        <v>10</v>
      </c>
      <c r="I317" s="13" t="s">
        <v>41</v>
      </c>
      <c r="J317" s="13"/>
      <c r="K317" s="13"/>
      <c r="L317" s="4">
        <v>5</v>
      </c>
      <c r="M317" s="14">
        <f>117*(1-P3/100)</f>
        <v>117</v>
      </c>
      <c r="N317" s="15"/>
      <c r="O317" s="13">
        <f>M317*N317</f>
        <v>0</v>
      </c>
      <c r="P317" s="13">
        <v>0</v>
      </c>
      <c r="Q317" s="13">
        <v>0</v>
      </c>
      <c r="R317" s="24"/>
      <c r="S317" s="25" t="s">
        <v>1344</v>
      </c>
      <c r="T317" s="25" t="s">
        <v>94</v>
      </c>
      <c r="U317" s="5"/>
      <c r="V317" s="5" t="s">
        <v>1345</v>
      </c>
      <c r="W317" s="5" t="s">
        <v>46</v>
      </c>
      <c r="X317" s="5" t="s">
        <v>992</v>
      </c>
      <c r="Y317" s="5"/>
      <c r="Z317" s="5" t="str">
        <f>HYPERLINK("https://knigipp.ru/api/getInfo/image/3ead56fa-bf6a-11ee-a25a-00155d82e908")</f>
        <v>https://knigipp.ru/api/getInfo/image/3ead56fa-bf6a-11ee-a25a-00155d82e908</v>
      </c>
      <c r="AA317" s="33">
        <v>80</v>
      </c>
      <c r="AB317" s="5" t="s">
        <v>85</v>
      </c>
      <c r="AC317" s="5" t="s">
        <v>96</v>
      </c>
      <c r="AD317" s="5"/>
      <c r="AE317" s="5" t="s">
        <v>49</v>
      </c>
      <c r="AF317" s="5"/>
      <c r="AG317" s="5"/>
      <c r="AH317" s="5" t="s">
        <v>740</v>
      </c>
    </row>
    <row r="318" spans="2:34" ht="21" customHeight="1" outlineLevel="5" x14ac:dyDescent="0.2">
      <c r="B318" s="4">
        <v>216</v>
      </c>
      <c r="C318" s="5" t="s">
        <v>1346</v>
      </c>
      <c r="D318" s="5" t="s">
        <v>1347</v>
      </c>
      <c r="E318" s="6" t="s">
        <v>1348</v>
      </c>
      <c r="F318" s="10"/>
      <c r="G318" s="11"/>
      <c r="H318" s="12">
        <v>10</v>
      </c>
      <c r="I318" s="13" t="s">
        <v>41</v>
      </c>
      <c r="J318" s="13"/>
      <c r="K318" s="13"/>
      <c r="L318" s="4">
        <v>5</v>
      </c>
      <c r="M318" s="14">
        <f>117*(1-P3/100)</f>
        <v>117</v>
      </c>
      <c r="N318" s="15"/>
      <c r="O318" s="13">
        <f>M318*N318</f>
        <v>0</v>
      </c>
      <c r="P318" s="13">
        <v>0</v>
      </c>
      <c r="Q318" s="13">
        <v>0</v>
      </c>
      <c r="R318" s="24"/>
      <c r="S318" s="25" t="s">
        <v>1349</v>
      </c>
      <c r="T318" s="25" t="s">
        <v>94</v>
      </c>
      <c r="U318" s="5"/>
      <c r="V318" s="5" t="s">
        <v>1350</v>
      </c>
      <c r="W318" s="5" t="s">
        <v>46</v>
      </c>
      <c r="X318" s="5" t="s">
        <v>992</v>
      </c>
      <c r="Y318" s="5"/>
      <c r="Z318" s="5" t="str">
        <f>HYPERLINK("https://knigipp.ru/api/getInfo/image/21d56bde-bf6a-11ee-a25a-00155d82e908")</f>
        <v>https://knigipp.ru/api/getInfo/image/21d56bde-bf6a-11ee-a25a-00155d82e908</v>
      </c>
      <c r="AA318" s="33">
        <v>80</v>
      </c>
      <c r="AB318" s="5" t="s">
        <v>85</v>
      </c>
      <c r="AC318" s="5" t="s">
        <v>96</v>
      </c>
      <c r="AD318" s="5"/>
      <c r="AE318" s="5" t="s">
        <v>49</v>
      </c>
      <c r="AF318" s="5"/>
      <c r="AG318" s="5"/>
      <c r="AH318" s="5" t="s">
        <v>740</v>
      </c>
    </row>
    <row r="319" spans="2:34" ht="22.95" customHeight="1" outlineLevel="4" x14ac:dyDescent="0.2">
      <c r="B319" s="75" t="s">
        <v>1351</v>
      </c>
      <c r="C319" s="75"/>
      <c r="D319" s="75"/>
    </row>
    <row r="320" spans="2:34" ht="21" customHeight="1" outlineLevel="5" x14ac:dyDescent="0.2">
      <c r="B320" s="4">
        <v>217</v>
      </c>
      <c r="C320" s="5" t="s">
        <v>1352</v>
      </c>
      <c r="D320" s="5" t="s">
        <v>1353</v>
      </c>
      <c r="E320" s="6" t="s">
        <v>1354</v>
      </c>
      <c r="F320" s="10"/>
      <c r="G320" s="11" t="s">
        <v>1355</v>
      </c>
      <c r="H320" s="12">
        <v>10</v>
      </c>
      <c r="I320" s="13" t="s">
        <v>41</v>
      </c>
      <c r="J320" s="13"/>
      <c r="K320" s="13"/>
      <c r="L320" s="4">
        <v>3</v>
      </c>
      <c r="M320" s="14">
        <f>247*(1-P3/100)</f>
        <v>247</v>
      </c>
      <c r="N320" s="15"/>
      <c r="O320" s="13">
        <f>M320*N320</f>
        <v>0</v>
      </c>
      <c r="P320" s="13">
        <v>0</v>
      </c>
      <c r="Q320" s="13">
        <v>0</v>
      </c>
      <c r="R320" s="24"/>
      <c r="S320" s="25" t="s">
        <v>1356</v>
      </c>
      <c r="T320" s="25" t="s">
        <v>94</v>
      </c>
      <c r="U320" s="5"/>
      <c r="V320" s="5" t="s">
        <v>1357</v>
      </c>
      <c r="W320" s="5" t="s">
        <v>46</v>
      </c>
      <c r="X320" s="5" t="s">
        <v>1358</v>
      </c>
      <c r="Y320" s="5"/>
      <c r="Z320" s="5" t="str">
        <f>HYPERLINK("https://knigipp.ru/api/getInfo/image/fb62ac63-8781-11ee-a248-00155d82e902")</f>
        <v>https://knigipp.ru/api/getInfo/image/fb62ac63-8781-11ee-a248-00155d82e902</v>
      </c>
      <c r="AA320" s="33">
        <v>128</v>
      </c>
      <c r="AB320" s="5" t="s">
        <v>1359</v>
      </c>
      <c r="AC320" s="5" t="s">
        <v>86</v>
      </c>
      <c r="AD320" s="5"/>
      <c r="AE320" s="5" t="s">
        <v>49</v>
      </c>
      <c r="AF320" s="5"/>
      <c r="AG320" s="5"/>
      <c r="AH320" s="5" t="s">
        <v>1360</v>
      </c>
    </row>
    <row r="321" spans="2:34" ht="21" customHeight="1" outlineLevel="5" x14ac:dyDescent="0.2">
      <c r="B321" s="4">
        <v>218</v>
      </c>
      <c r="C321" s="5" t="s">
        <v>1361</v>
      </c>
      <c r="D321" s="5" t="s">
        <v>1362</v>
      </c>
      <c r="E321" s="6" t="s">
        <v>1363</v>
      </c>
      <c r="F321" s="10"/>
      <c r="G321" s="11" t="s">
        <v>1355</v>
      </c>
      <c r="H321" s="12">
        <v>10</v>
      </c>
      <c r="I321" s="13" t="s">
        <v>41</v>
      </c>
      <c r="J321" s="13"/>
      <c r="K321" s="13"/>
      <c r="L321" s="4">
        <v>3</v>
      </c>
      <c r="M321" s="14">
        <f>247*(1-P3/100)</f>
        <v>247</v>
      </c>
      <c r="N321" s="15"/>
      <c r="O321" s="13">
        <f>M321*N321</f>
        <v>0</v>
      </c>
      <c r="P321" s="13">
        <v>0</v>
      </c>
      <c r="Q321" s="13">
        <v>0</v>
      </c>
      <c r="R321" s="24"/>
      <c r="S321" s="25" t="s">
        <v>1364</v>
      </c>
      <c r="T321" s="25" t="s">
        <v>94</v>
      </c>
      <c r="U321" s="5"/>
      <c r="V321" s="5" t="s">
        <v>1365</v>
      </c>
      <c r="W321" s="5" t="s">
        <v>46</v>
      </c>
      <c r="X321" s="5" t="s">
        <v>1358</v>
      </c>
      <c r="Y321" s="5"/>
      <c r="Z321" s="5" t="str">
        <f>HYPERLINK("https://knigipp.ru/api/getInfo/image/b8ef6653-8781-11ee-a248-00155d82e902")</f>
        <v>https://knigipp.ru/api/getInfo/image/b8ef6653-8781-11ee-a248-00155d82e902</v>
      </c>
      <c r="AA321" s="33">
        <v>128</v>
      </c>
      <c r="AB321" s="5" t="s">
        <v>1359</v>
      </c>
      <c r="AC321" s="5" t="s">
        <v>86</v>
      </c>
      <c r="AD321" s="5"/>
      <c r="AE321" s="5" t="s">
        <v>49</v>
      </c>
      <c r="AF321" s="5"/>
      <c r="AG321" s="5"/>
      <c r="AH321" s="5" t="s">
        <v>1360</v>
      </c>
    </row>
    <row r="322" spans="2:34" ht="21" customHeight="1" outlineLevel="5" x14ac:dyDescent="0.2">
      <c r="B322" s="4">
        <v>219</v>
      </c>
      <c r="C322" s="5" t="s">
        <v>1366</v>
      </c>
      <c r="D322" s="5" t="s">
        <v>1367</v>
      </c>
      <c r="E322" s="6" t="s">
        <v>1368</v>
      </c>
      <c r="F322" s="10"/>
      <c r="G322" s="11" t="s">
        <v>1355</v>
      </c>
      <c r="H322" s="12">
        <v>10</v>
      </c>
      <c r="I322" s="13" t="s">
        <v>41</v>
      </c>
      <c r="J322" s="13"/>
      <c r="K322" s="13"/>
      <c r="L322" s="4">
        <v>3</v>
      </c>
      <c r="M322" s="14">
        <f>247*(1-P3/100)</f>
        <v>247</v>
      </c>
      <c r="N322" s="15"/>
      <c r="O322" s="13">
        <f>M322*N322</f>
        <v>0</v>
      </c>
      <c r="P322" s="13">
        <v>0</v>
      </c>
      <c r="Q322" s="13">
        <v>0</v>
      </c>
      <c r="R322" s="24"/>
      <c r="S322" s="25" t="s">
        <v>1369</v>
      </c>
      <c r="T322" s="25" t="s">
        <v>94</v>
      </c>
      <c r="U322" s="5"/>
      <c r="V322" s="5" t="s">
        <v>1370</v>
      </c>
      <c r="W322" s="5" t="s">
        <v>46</v>
      </c>
      <c r="X322" s="5" t="s">
        <v>1371</v>
      </c>
      <c r="Y322" s="5"/>
      <c r="Z322" s="5" t="str">
        <f>HYPERLINK("https://knigipp.ru/api/getInfo/image/d798306f-8781-11ee-a248-00155d82e902")</f>
        <v>https://knigipp.ru/api/getInfo/image/d798306f-8781-11ee-a248-00155d82e902</v>
      </c>
      <c r="AA322" s="33">
        <v>128</v>
      </c>
      <c r="AB322" s="5" t="s">
        <v>1359</v>
      </c>
      <c r="AC322" s="5" t="s">
        <v>86</v>
      </c>
      <c r="AD322" s="5"/>
      <c r="AE322" s="5" t="s">
        <v>49</v>
      </c>
      <c r="AF322" s="5"/>
      <c r="AG322" s="5"/>
      <c r="AH322" s="5" t="s">
        <v>1360</v>
      </c>
    </row>
    <row r="323" spans="2:34" ht="21" customHeight="1" outlineLevel="5" x14ac:dyDescent="0.2">
      <c r="B323" s="4">
        <v>220</v>
      </c>
      <c r="C323" s="5" t="s">
        <v>1372</v>
      </c>
      <c r="D323" s="5" t="s">
        <v>1373</v>
      </c>
      <c r="E323" s="6" t="s">
        <v>1374</v>
      </c>
      <c r="F323" s="10"/>
      <c r="G323" s="11" t="s">
        <v>1355</v>
      </c>
      <c r="H323" s="12">
        <v>10</v>
      </c>
      <c r="I323" s="13" t="s">
        <v>41</v>
      </c>
      <c r="J323" s="13"/>
      <c r="K323" s="13"/>
      <c r="L323" s="4">
        <v>3</v>
      </c>
      <c r="M323" s="14">
        <f>247*(1-P3/100)</f>
        <v>247</v>
      </c>
      <c r="N323" s="15"/>
      <c r="O323" s="13">
        <f>M323*N323</f>
        <v>0</v>
      </c>
      <c r="P323" s="13">
        <v>0</v>
      </c>
      <c r="Q323" s="13">
        <v>0</v>
      </c>
      <c r="R323" s="24"/>
      <c r="S323" s="25" t="s">
        <v>1375</v>
      </c>
      <c r="T323" s="25" t="s">
        <v>94</v>
      </c>
      <c r="U323" s="5"/>
      <c r="V323" s="5" t="s">
        <v>1376</v>
      </c>
      <c r="W323" s="5" t="s">
        <v>46</v>
      </c>
      <c r="X323" s="5" t="s">
        <v>1371</v>
      </c>
      <c r="Y323" s="5"/>
      <c r="Z323" s="5" t="str">
        <f>HYPERLINK("https://knigipp.ru/api/getInfo/image/961cdeed-8781-11ee-a248-00155d82e902")</f>
        <v>https://knigipp.ru/api/getInfo/image/961cdeed-8781-11ee-a248-00155d82e902</v>
      </c>
      <c r="AA323" s="33">
        <v>128</v>
      </c>
      <c r="AB323" s="5" t="s">
        <v>1359</v>
      </c>
      <c r="AC323" s="5" t="s">
        <v>86</v>
      </c>
      <c r="AD323" s="5"/>
      <c r="AE323" s="5" t="s">
        <v>49</v>
      </c>
      <c r="AF323" s="5"/>
      <c r="AG323" s="5"/>
      <c r="AH323" s="5" t="s">
        <v>1360</v>
      </c>
    </row>
    <row r="324" spans="2:34" ht="22.95" customHeight="1" outlineLevel="4" x14ac:dyDescent="0.2">
      <c r="B324" s="75" t="s">
        <v>1377</v>
      </c>
      <c r="C324" s="75"/>
      <c r="D324" s="75"/>
    </row>
    <row r="325" spans="2:34" ht="21" customHeight="1" outlineLevel="5" x14ac:dyDescent="0.2">
      <c r="B325" s="4">
        <v>221</v>
      </c>
      <c r="C325" s="5" t="s">
        <v>1378</v>
      </c>
      <c r="D325" s="5" t="s">
        <v>1379</v>
      </c>
      <c r="E325" s="6" t="s">
        <v>1380</v>
      </c>
      <c r="F325" s="10"/>
      <c r="G325" s="11" t="s">
        <v>1381</v>
      </c>
      <c r="H325" s="12">
        <v>10</v>
      </c>
      <c r="I325" s="13" t="s">
        <v>261</v>
      </c>
      <c r="J325" s="13"/>
      <c r="K325" s="13"/>
      <c r="L325" s="4">
        <v>7</v>
      </c>
      <c r="M325" s="14">
        <f>99*(1-P3/100)</f>
        <v>99</v>
      </c>
      <c r="N325" s="15"/>
      <c r="O325" s="13">
        <f>M325*N325</f>
        <v>0</v>
      </c>
      <c r="P325" s="36">
        <f>0.1*N325</f>
        <v>0</v>
      </c>
      <c r="Q325" s="23">
        <f>0.00023*N325</f>
        <v>0</v>
      </c>
      <c r="R325" s="24"/>
      <c r="S325" s="25" t="s">
        <v>1382</v>
      </c>
      <c r="T325" s="25" t="s">
        <v>94</v>
      </c>
      <c r="U325" s="5"/>
      <c r="V325" s="5" t="s">
        <v>1383</v>
      </c>
      <c r="W325" s="5" t="s">
        <v>46</v>
      </c>
      <c r="X325" s="5"/>
      <c r="Y325" s="5"/>
      <c r="Z325" s="5" t="str">
        <f>HYPERLINK("https://knigipp.ru/api/getInfo/image/8807d909-2bb6-11ee-a23d-00155d82e902")</f>
        <v>https://knigipp.ru/api/getInfo/image/8807d909-2bb6-11ee-a23d-00155d82e902</v>
      </c>
      <c r="AA325" s="33">
        <v>80</v>
      </c>
      <c r="AB325" s="5" t="s">
        <v>574</v>
      </c>
      <c r="AC325" s="5" t="s">
        <v>96</v>
      </c>
      <c r="AD325" s="5"/>
      <c r="AE325" s="5" t="s">
        <v>49</v>
      </c>
      <c r="AF325" s="5"/>
      <c r="AG325" s="5"/>
      <c r="AH325" s="5" t="s">
        <v>740</v>
      </c>
    </row>
    <row r="326" spans="2:34" ht="22.95" customHeight="1" outlineLevel="4" x14ac:dyDescent="0.2">
      <c r="B326" s="75" t="s">
        <v>1384</v>
      </c>
      <c r="C326" s="75"/>
      <c r="D326" s="75"/>
    </row>
    <row r="327" spans="2:34" ht="21" customHeight="1" outlineLevel="5" x14ac:dyDescent="0.2">
      <c r="B327" s="4">
        <v>222</v>
      </c>
      <c r="C327" s="5" t="s">
        <v>1385</v>
      </c>
      <c r="D327" s="5" t="s">
        <v>1386</v>
      </c>
      <c r="E327" s="6" t="s">
        <v>1387</v>
      </c>
      <c r="F327" s="10"/>
      <c r="G327" s="11"/>
      <c r="H327" s="12">
        <v>10</v>
      </c>
      <c r="I327" s="13" t="s">
        <v>261</v>
      </c>
      <c r="J327" s="13"/>
      <c r="K327" s="13"/>
      <c r="L327" s="4">
        <v>7</v>
      </c>
      <c r="M327" s="14">
        <f>99*(1-P3/100)</f>
        <v>99</v>
      </c>
      <c r="N327" s="15"/>
      <c r="O327" s="13">
        <f>M327*N327</f>
        <v>0</v>
      </c>
      <c r="P327" s="13">
        <v>0</v>
      </c>
      <c r="Q327" s="13">
        <v>0</v>
      </c>
      <c r="R327" s="24"/>
      <c r="S327" s="25" t="s">
        <v>1388</v>
      </c>
      <c r="T327" s="25" t="s">
        <v>94</v>
      </c>
      <c r="U327" s="5"/>
      <c r="V327" s="5" t="s">
        <v>1389</v>
      </c>
      <c r="W327" s="5" t="s">
        <v>46</v>
      </c>
      <c r="X327" s="5" t="s">
        <v>760</v>
      </c>
      <c r="Y327" s="5"/>
      <c r="Z327" s="5" t="str">
        <f>HYPERLINK("https://knigipp.ru/api/getInfo/image/38c4629b-8786-11ee-a248-00155d82e902")</f>
        <v>https://knigipp.ru/api/getInfo/image/38c4629b-8786-11ee-a248-00155d82e902</v>
      </c>
      <c r="AA327" s="33">
        <v>80</v>
      </c>
      <c r="AB327" s="5" t="s">
        <v>598</v>
      </c>
      <c r="AC327" s="5" t="s">
        <v>96</v>
      </c>
      <c r="AD327" s="5"/>
      <c r="AE327" s="5" t="s">
        <v>49</v>
      </c>
      <c r="AF327" s="5"/>
      <c r="AG327" s="5"/>
      <c r="AH327" s="5" t="s">
        <v>740</v>
      </c>
    </row>
    <row r="328" spans="2:34" ht="21" customHeight="1" outlineLevel="5" x14ac:dyDescent="0.2">
      <c r="B328" s="4">
        <v>223</v>
      </c>
      <c r="C328" s="5" t="s">
        <v>1390</v>
      </c>
      <c r="D328" s="5" t="s">
        <v>1391</v>
      </c>
      <c r="E328" s="6" t="s">
        <v>1392</v>
      </c>
      <c r="F328" s="10"/>
      <c r="G328" s="11"/>
      <c r="H328" s="12">
        <v>10</v>
      </c>
      <c r="I328" s="13" t="s">
        <v>41</v>
      </c>
      <c r="J328" s="13"/>
      <c r="K328" s="13"/>
      <c r="L328" s="4">
        <v>7</v>
      </c>
      <c r="M328" s="14">
        <f>99*(1-P3/100)</f>
        <v>99</v>
      </c>
      <c r="N328" s="15"/>
      <c r="O328" s="13">
        <f>M328*N328</f>
        <v>0</v>
      </c>
      <c r="P328" s="13">
        <v>0</v>
      </c>
      <c r="Q328" s="13">
        <v>0</v>
      </c>
      <c r="R328" s="24"/>
      <c r="S328" s="25" t="s">
        <v>1393</v>
      </c>
      <c r="T328" s="25" t="s">
        <v>94</v>
      </c>
      <c r="U328" s="5"/>
      <c r="V328" s="5" t="s">
        <v>1394</v>
      </c>
      <c r="W328" s="5" t="s">
        <v>46</v>
      </c>
      <c r="X328" s="5" t="s">
        <v>760</v>
      </c>
      <c r="Y328" s="5"/>
      <c r="Z328" s="5" t="str">
        <f>HYPERLINK("https://knigipp.ru/api/getInfo/image/13ec7ca8-8786-11ee-a248-00155d82e902")</f>
        <v>https://knigipp.ru/api/getInfo/image/13ec7ca8-8786-11ee-a248-00155d82e902</v>
      </c>
      <c r="AA328" s="33">
        <v>80</v>
      </c>
      <c r="AB328" s="5" t="s">
        <v>598</v>
      </c>
      <c r="AC328" s="5" t="s">
        <v>96</v>
      </c>
      <c r="AD328" s="5"/>
      <c r="AE328" s="5" t="s">
        <v>49</v>
      </c>
      <c r="AF328" s="5"/>
      <c r="AG328" s="5"/>
      <c r="AH328" s="5" t="s">
        <v>740</v>
      </c>
    </row>
    <row r="329" spans="2:34" ht="22.95" customHeight="1" outlineLevel="4" x14ac:dyDescent="0.2">
      <c r="B329" s="75" t="s">
        <v>1395</v>
      </c>
      <c r="C329" s="75"/>
      <c r="D329" s="75"/>
    </row>
    <row r="330" spans="2:34" ht="21" customHeight="1" outlineLevel="5" x14ac:dyDescent="0.2">
      <c r="B330" s="4">
        <v>224</v>
      </c>
      <c r="C330" s="5" t="s">
        <v>1396</v>
      </c>
      <c r="D330" s="5" t="s">
        <v>1397</v>
      </c>
      <c r="E330" s="6" t="s">
        <v>1398</v>
      </c>
      <c r="F330" s="10"/>
      <c r="G330" s="11" t="s">
        <v>1100</v>
      </c>
      <c r="H330" s="12">
        <v>20</v>
      </c>
      <c r="I330" s="13" t="s">
        <v>41</v>
      </c>
      <c r="J330" s="13"/>
      <c r="K330" s="13"/>
      <c r="L330" s="4">
        <v>10</v>
      </c>
      <c r="M330" s="14">
        <f>67*(1-P3/100)</f>
        <v>67</v>
      </c>
      <c r="N330" s="15"/>
      <c r="O330" s="13">
        <f>M330*N330</f>
        <v>0</v>
      </c>
      <c r="P330" s="22">
        <f>0.044*N330</f>
        <v>0</v>
      </c>
      <c r="Q330" s="23">
        <f>0.00013*N330</f>
        <v>0</v>
      </c>
      <c r="R330" s="24"/>
      <c r="S330" s="25" t="s">
        <v>1399</v>
      </c>
      <c r="T330" s="25" t="s">
        <v>94</v>
      </c>
      <c r="U330" s="5"/>
      <c r="V330" s="5" t="s">
        <v>1400</v>
      </c>
      <c r="W330" s="5" t="s">
        <v>46</v>
      </c>
      <c r="X330" s="5"/>
      <c r="Y330" s="5"/>
      <c r="Z330" s="5" t="str">
        <f>HYPERLINK("https://knigipp.ru/api/getInfo/image/f1c94382-c1a4-11ee-a25a-00155d82e908")</f>
        <v>https://knigipp.ru/api/getInfo/image/f1c94382-c1a4-11ee-a25a-00155d82e908</v>
      </c>
      <c r="AA330" s="33">
        <v>64</v>
      </c>
      <c r="AB330" s="5" t="s">
        <v>598</v>
      </c>
      <c r="AC330" s="5" t="s">
        <v>96</v>
      </c>
      <c r="AD330" s="5"/>
      <c r="AE330" s="5" t="s">
        <v>49</v>
      </c>
      <c r="AF330" s="5"/>
      <c r="AG330" s="5"/>
      <c r="AH330" s="5" t="s">
        <v>1401</v>
      </c>
    </row>
    <row r="331" spans="2:34" ht="21" customHeight="1" outlineLevel="5" x14ac:dyDescent="0.2">
      <c r="B331" s="4">
        <v>225</v>
      </c>
      <c r="C331" s="5" t="s">
        <v>1402</v>
      </c>
      <c r="D331" s="5" t="s">
        <v>1403</v>
      </c>
      <c r="E331" s="6" t="s">
        <v>1404</v>
      </c>
      <c r="F331" s="10"/>
      <c r="G331" s="11" t="s">
        <v>1100</v>
      </c>
      <c r="H331" s="12">
        <v>20</v>
      </c>
      <c r="I331" s="13" t="s">
        <v>41</v>
      </c>
      <c r="J331" s="13"/>
      <c r="K331" s="13"/>
      <c r="L331" s="4">
        <v>10</v>
      </c>
      <c r="M331" s="14">
        <f>67*(1-P3/100)</f>
        <v>67</v>
      </c>
      <c r="N331" s="15"/>
      <c r="O331" s="13">
        <f>M331*N331</f>
        <v>0</v>
      </c>
      <c r="P331" s="22">
        <f>0.044*N331</f>
        <v>0</v>
      </c>
      <c r="Q331" s="23">
        <f>0.00013*N331</f>
        <v>0</v>
      </c>
      <c r="R331" s="24"/>
      <c r="S331" s="25" t="s">
        <v>1405</v>
      </c>
      <c r="T331" s="25" t="s">
        <v>94</v>
      </c>
      <c r="U331" s="5"/>
      <c r="V331" s="5" t="s">
        <v>1406</v>
      </c>
      <c r="W331" s="5" t="s">
        <v>46</v>
      </c>
      <c r="X331" s="5"/>
      <c r="Y331" s="5"/>
      <c r="Z331" s="5" t="str">
        <f>HYPERLINK("https://knigipp.ru/api/getInfo/image/1b7db725-c1a5-11ee-a25a-00155d82e908")</f>
        <v>https://knigipp.ru/api/getInfo/image/1b7db725-c1a5-11ee-a25a-00155d82e908</v>
      </c>
      <c r="AA331" s="33">
        <v>64</v>
      </c>
      <c r="AB331" s="5" t="s">
        <v>598</v>
      </c>
      <c r="AC331" s="5" t="s">
        <v>96</v>
      </c>
      <c r="AD331" s="5"/>
      <c r="AE331" s="5" t="s">
        <v>49</v>
      </c>
      <c r="AF331" s="5"/>
      <c r="AG331" s="5"/>
      <c r="AH331" s="5" t="s">
        <v>1401</v>
      </c>
    </row>
    <row r="332" spans="2:34" ht="21" customHeight="1" outlineLevel="5" x14ac:dyDescent="0.2">
      <c r="B332" s="4">
        <v>226</v>
      </c>
      <c r="C332" s="5" t="s">
        <v>1407</v>
      </c>
      <c r="D332" s="5" t="s">
        <v>1408</v>
      </c>
      <c r="E332" s="6" t="s">
        <v>1409</v>
      </c>
      <c r="F332" s="10"/>
      <c r="G332" s="11" t="s">
        <v>1100</v>
      </c>
      <c r="H332" s="12">
        <v>20</v>
      </c>
      <c r="I332" s="13" t="s">
        <v>41</v>
      </c>
      <c r="J332" s="13"/>
      <c r="K332" s="13"/>
      <c r="L332" s="4">
        <v>10</v>
      </c>
      <c r="M332" s="14">
        <f>67*(1-P3/100)</f>
        <v>67</v>
      </c>
      <c r="N332" s="15"/>
      <c r="O332" s="13">
        <f>M332*N332</f>
        <v>0</v>
      </c>
      <c r="P332" s="22">
        <f>0.044*N332</f>
        <v>0</v>
      </c>
      <c r="Q332" s="23">
        <f>0.00013*N332</f>
        <v>0</v>
      </c>
      <c r="R332" s="24"/>
      <c r="S332" s="25" t="s">
        <v>1410</v>
      </c>
      <c r="T332" s="25" t="s">
        <v>94</v>
      </c>
      <c r="U332" s="5"/>
      <c r="V332" s="5" t="s">
        <v>1411</v>
      </c>
      <c r="W332" s="5" t="s">
        <v>46</v>
      </c>
      <c r="X332" s="5"/>
      <c r="Y332" s="5"/>
      <c r="Z332" s="5" t="str">
        <f>HYPERLINK("https://knigipp.ru/api/getInfo/image/4d5130de-c1a5-11ee-a25a-00155d82e908")</f>
        <v>https://knigipp.ru/api/getInfo/image/4d5130de-c1a5-11ee-a25a-00155d82e908</v>
      </c>
      <c r="AA332" s="33">
        <v>64</v>
      </c>
      <c r="AB332" s="5" t="s">
        <v>598</v>
      </c>
      <c r="AC332" s="5" t="s">
        <v>96</v>
      </c>
      <c r="AD332" s="5"/>
      <c r="AE332" s="5" t="s">
        <v>49</v>
      </c>
      <c r="AF332" s="5"/>
      <c r="AG332" s="5"/>
      <c r="AH332" s="5" t="s">
        <v>1401</v>
      </c>
    </row>
    <row r="333" spans="2:34" ht="21" customHeight="1" outlineLevel="5" x14ac:dyDescent="0.2">
      <c r="B333" s="4">
        <v>227</v>
      </c>
      <c r="C333" s="5" t="s">
        <v>1412</v>
      </c>
      <c r="D333" s="5" t="s">
        <v>1413</v>
      </c>
      <c r="E333" s="6" t="s">
        <v>1414</v>
      </c>
      <c r="F333" s="10"/>
      <c r="G333" s="11" t="s">
        <v>1100</v>
      </c>
      <c r="H333" s="12">
        <v>20</v>
      </c>
      <c r="I333" s="13" t="s">
        <v>41</v>
      </c>
      <c r="J333" s="13"/>
      <c r="K333" s="13"/>
      <c r="L333" s="4">
        <v>10</v>
      </c>
      <c r="M333" s="14">
        <f>67*(1-P3/100)</f>
        <v>67</v>
      </c>
      <c r="N333" s="15"/>
      <c r="O333" s="13">
        <f>M333*N333</f>
        <v>0</v>
      </c>
      <c r="P333" s="22">
        <f>0.044*N333</f>
        <v>0</v>
      </c>
      <c r="Q333" s="23">
        <f>0.00013*N333</f>
        <v>0</v>
      </c>
      <c r="R333" s="24"/>
      <c r="S333" s="25" t="s">
        <v>1415</v>
      </c>
      <c r="T333" s="25" t="s">
        <v>94</v>
      </c>
      <c r="U333" s="5"/>
      <c r="V333" s="5" t="s">
        <v>1416</v>
      </c>
      <c r="W333" s="5" t="s">
        <v>46</v>
      </c>
      <c r="X333" s="5"/>
      <c r="Y333" s="5"/>
      <c r="Z333" s="5" t="str">
        <f>HYPERLINK("https://knigipp.ru/api/getInfo/image/cc7eec1e-c1a4-11ee-a25a-00155d82e908")</f>
        <v>https://knigipp.ru/api/getInfo/image/cc7eec1e-c1a4-11ee-a25a-00155d82e908</v>
      </c>
      <c r="AA333" s="33">
        <v>64</v>
      </c>
      <c r="AB333" s="5" t="s">
        <v>598</v>
      </c>
      <c r="AC333" s="5" t="s">
        <v>96</v>
      </c>
      <c r="AD333" s="5"/>
      <c r="AE333" s="5" t="s">
        <v>49</v>
      </c>
      <c r="AF333" s="5"/>
      <c r="AG333" s="5"/>
      <c r="AH333" s="5" t="s">
        <v>1401</v>
      </c>
    </row>
    <row r="334" spans="2:34" ht="22.95" customHeight="1" outlineLevel="3" x14ac:dyDescent="0.2">
      <c r="B334" s="74" t="s">
        <v>1417</v>
      </c>
      <c r="C334" s="74"/>
      <c r="D334" s="74"/>
    </row>
    <row r="335" spans="2:34" ht="22.95" customHeight="1" outlineLevel="4" x14ac:dyDescent="0.2">
      <c r="B335" s="75" t="s">
        <v>1418</v>
      </c>
      <c r="C335" s="75"/>
      <c r="D335" s="75"/>
    </row>
    <row r="336" spans="2:34" ht="21" customHeight="1" outlineLevel="5" x14ac:dyDescent="0.2">
      <c r="B336" s="4">
        <v>228</v>
      </c>
      <c r="C336" s="5" t="s">
        <v>1419</v>
      </c>
      <c r="D336" s="5" t="s">
        <v>1420</v>
      </c>
      <c r="E336" s="6" t="s">
        <v>1421</v>
      </c>
      <c r="F336" s="10"/>
      <c r="G336" s="11" t="s">
        <v>1422</v>
      </c>
      <c r="H336" s="12">
        <v>20</v>
      </c>
      <c r="I336" s="13" t="s">
        <v>41</v>
      </c>
      <c r="J336" s="13"/>
      <c r="K336" s="13"/>
      <c r="L336" s="4">
        <v>4</v>
      </c>
      <c r="M336" s="14">
        <f>153*(1-P3/100)</f>
        <v>153</v>
      </c>
      <c r="N336" s="15"/>
      <c r="O336" s="13">
        <f>M336*N336</f>
        <v>0</v>
      </c>
      <c r="P336" s="32">
        <f>0.17*N336</f>
        <v>0</v>
      </c>
      <c r="Q336" s="23">
        <f>0.00046*N336</f>
        <v>0</v>
      </c>
      <c r="R336" s="24"/>
      <c r="S336" s="25" t="s">
        <v>1423</v>
      </c>
      <c r="T336" s="25" t="s">
        <v>94</v>
      </c>
      <c r="U336" s="5"/>
      <c r="V336" s="5"/>
      <c r="W336" s="5"/>
      <c r="X336" s="5"/>
      <c r="Y336" s="5"/>
      <c r="Z336" s="5" t="str">
        <f>HYPERLINK("https://knigipp.ru/api/getInfo/image/e6def132-66d7-11ec-a20f-ac1f6b442185")</f>
        <v>https://knigipp.ru/api/getInfo/image/e6def132-66d7-11ec-a20f-ac1f6b442185</v>
      </c>
      <c r="AA336" s="33">
        <v>96</v>
      </c>
      <c r="AB336" s="5" t="s">
        <v>47</v>
      </c>
      <c r="AC336" s="5" t="s">
        <v>48</v>
      </c>
      <c r="AD336" s="5"/>
      <c r="AE336" s="5" t="s">
        <v>49</v>
      </c>
      <c r="AF336" s="5"/>
      <c r="AG336" s="5"/>
      <c r="AH336" s="5" t="s">
        <v>1424</v>
      </c>
    </row>
    <row r="337" spans="2:34" ht="21" customHeight="1" outlineLevel="5" x14ac:dyDescent="0.2">
      <c r="B337" s="4">
        <v>229</v>
      </c>
      <c r="C337" s="5" t="s">
        <v>1425</v>
      </c>
      <c r="D337" s="5" t="s">
        <v>1426</v>
      </c>
      <c r="E337" s="6" t="s">
        <v>1427</v>
      </c>
      <c r="F337" s="10"/>
      <c r="G337" s="11" t="s">
        <v>1422</v>
      </c>
      <c r="H337" s="12">
        <v>20</v>
      </c>
      <c r="I337" s="13" t="s">
        <v>41</v>
      </c>
      <c r="J337" s="13"/>
      <c r="K337" s="13"/>
      <c r="L337" s="4">
        <v>4</v>
      </c>
      <c r="M337" s="14">
        <f>153*(1-P3/100)</f>
        <v>153</v>
      </c>
      <c r="N337" s="15"/>
      <c r="O337" s="13">
        <f>M337*N337</f>
        <v>0</v>
      </c>
      <c r="P337" s="13">
        <v>0</v>
      </c>
      <c r="Q337" s="13">
        <v>0</v>
      </c>
      <c r="R337" s="24"/>
      <c r="S337" s="25" t="s">
        <v>1428</v>
      </c>
      <c r="T337" s="25" t="s">
        <v>94</v>
      </c>
      <c r="U337" s="5"/>
      <c r="V337" s="5"/>
      <c r="W337" s="5" t="s">
        <v>46</v>
      </c>
      <c r="X337" s="5"/>
      <c r="Y337" s="5"/>
      <c r="Z337" s="5" t="str">
        <f>HYPERLINK("https://knigipp.ru/api/getInfo/image/13ad54b0-66d7-11ec-a20f-ac1f6b442185")</f>
        <v>https://knigipp.ru/api/getInfo/image/13ad54b0-66d7-11ec-a20f-ac1f6b442185</v>
      </c>
      <c r="AA337" s="33">
        <v>96</v>
      </c>
      <c r="AB337" s="5" t="s">
        <v>47</v>
      </c>
      <c r="AC337" s="5" t="s">
        <v>48</v>
      </c>
      <c r="AD337" s="5"/>
      <c r="AE337" s="5" t="s">
        <v>49</v>
      </c>
      <c r="AF337" s="5"/>
      <c r="AG337" s="5"/>
      <c r="AH337" s="5" t="s">
        <v>1424</v>
      </c>
    </row>
    <row r="338" spans="2:34" ht="22.95" customHeight="1" outlineLevel="3" x14ac:dyDescent="0.2">
      <c r="B338" s="74" t="s">
        <v>1429</v>
      </c>
      <c r="C338" s="74"/>
      <c r="D338" s="74"/>
    </row>
    <row r="339" spans="2:34" ht="22.95" customHeight="1" outlineLevel="4" x14ac:dyDescent="0.2">
      <c r="B339" s="75" t="s">
        <v>1430</v>
      </c>
      <c r="C339" s="75"/>
      <c r="D339" s="75"/>
    </row>
    <row r="340" spans="2:34" ht="22.95" customHeight="1" outlineLevel="5" x14ac:dyDescent="0.2">
      <c r="B340" s="76" t="s">
        <v>1431</v>
      </c>
      <c r="C340" s="76"/>
      <c r="D340" s="76"/>
    </row>
    <row r="341" spans="2:34" ht="21" customHeight="1" outlineLevel="6" x14ac:dyDescent="0.2">
      <c r="B341" s="4">
        <v>230</v>
      </c>
      <c r="C341" s="5" t="s">
        <v>1432</v>
      </c>
      <c r="D341" s="5" t="s">
        <v>1433</v>
      </c>
      <c r="E341" s="6" t="s">
        <v>1434</v>
      </c>
      <c r="F341" s="10"/>
      <c r="G341" s="11" t="s">
        <v>1435</v>
      </c>
      <c r="H341" s="12">
        <v>20</v>
      </c>
      <c r="I341" s="13" t="s">
        <v>41</v>
      </c>
      <c r="J341" s="13"/>
      <c r="K341" s="13"/>
      <c r="L341" s="4">
        <v>1</v>
      </c>
      <c r="M341" s="14">
        <f>249*(1-P3/100)</f>
        <v>249</v>
      </c>
      <c r="N341" s="15"/>
      <c r="O341" s="13">
        <f>M341*N341</f>
        <v>0</v>
      </c>
      <c r="P341" s="13">
        <v>0</v>
      </c>
      <c r="Q341" s="13">
        <v>0</v>
      </c>
      <c r="R341" s="24"/>
      <c r="S341" s="25" t="s">
        <v>1436</v>
      </c>
      <c r="T341" s="25" t="s">
        <v>94</v>
      </c>
      <c r="U341" s="5"/>
      <c r="V341" s="5" t="s">
        <v>1437</v>
      </c>
      <c r="W341" s="5" t="s">
        <v>46</v>
      </c>
      <c r="X341" s="5"/>
      <c r="Y341" s="5"/>
      <c r="Z341" s="5" t="str">
        <f>HYPERLINK("https://knigipp.ru/api/getInfo/image/aac369fd-777b-11eb-a273-ac1f6b442184")</f>
        <v>https://knigipp.ru/api/getInfo/image/aac369fd-777b-11eb-a273-ac1f6b442184</v>
      </c>
      <c r="AA341" s="33">
        <v>80</v>
      </c>
      <c r="AB341" s="5"/>
      <c r="AC341" s="5" t="s">
        <v>219</v>
      </c>
      <c r="AD341" s="5"/>
      <c r="AE341" s="5" t="s">
        <v>49</v>
      </c>
      <c r="AF341" s="5"/>
      <c r="AG341" s="5"/>
      <c r="AH341" s="5" t="s">
        <v>1438</v>
      </c>
    </row>
    <row r="342" spans="2:34" ht="21" customHeight="1" outlineLevel="6" x14ac:dyDescent="0.2">
      <c r="B342" s="4">
        <v>231</v>
      </c>
      <c r="C342" s="5" t="s">
        <v>1439</v>
      </c>
      <c r="D342" s="5" t="s">
        <v>1440</v>
      </c>
      <c r="E342" s="6" t="s">
        <v>1441</v>
      </c>
      <c r="F342" s="10"/>
      <c r="G342" s="11" t="s">
        <v>1435</v>
      </c>
      <c r="H342" s="12">
        <v>20</v>
      </c>
      <c r="I342" s="13" t="s">
        <v>41</v>
      </c>
      <c r="J342" s="13"/>
      <c r="K342" s="13"/>
      <c r="L342" s="4">
        <v>1</v>
      </c>
      <c r="M342" s="14">
        <f>249*(1-P3/100)</f>
        <v>249</v>
      </c>
      <c r="N342" s="15"/>
      <c r="O342" s="13">
        <f>M342*N342</f>
        <v>0</v>
      </c>
      <c r="P342" s="13">
        <v>0</v>
      </c>
      <c r="Q342" s="13">
        <v>0</v>
      </c>
      <c r="R342" s="24"/>
      <c r="S342" s="25" t="s">
        <v>1442</v>
      </c>
      <c r="T342" s="25" t="s">
        <v>94</v>
      </c>
      <c r="U342" s="5"/>
      <c r="V342" s="5" t="s">
        <v>1443</v>
      </c>
      <c r="W342" s="5" t="s">
        <v>46</v>
      </c>
      <c r="X342" s="5"/>
      <c r="Y342" s="5"/>
      <c r="Z342" s="5" t="str">
        <f>HYPERLINK("https://knigipp.ru/api/getInfo/image/29420e26-777c-11eb-a273-ac1f6b442184")</f>
        <v>https://knigipp.ru/api/getInfo/image/29420e26-777c-11eb-a273-ac1f6b442184</v>
      </c>
      <c r="AA342" s="33">
        <v>80</v>
      </c>
      <c r="AB342" s="5"/>
      <c r="AC342" s="5" t="s">
        <v>219</v>
      </c>
      <c r="AD342" s="5"/>
      <c r="AE342" s="5" t="s">
        <v>49</v>
      </c>
      <c r="AF342" s="5"/>
      <c r="AG342" s="5"/>
      <c r="AH342" s="5" t="s">
        <v>1438</v>
      </c>
    </row>
    <row r="343" spans="2:34" ht="21" customHeight="1" outlineLevel="6" x14ac:dyDescent="0.2">
      <c r="B343" s="4">
        <v>232</v>
      </c>
      <c r="C343" s="5" t="s">
        <v>1444</v>
      </c>
      <c r="D343" s="5" t="s">
        <v>1445</v>
      </c>
      <c r="E343" s="6" t="s">
        <v>1446</v>
      </c>
      <c r="F343" s="10"/>
      <c r="G343" s="11" t="s">
        <v>1435</v>
      </c>
      <c r="H343" s="12">
        <v>20</v>
      </c>
      <c r="I343" s="13" t="s">
        <v>41</v>
      </c>
      <c r="J343" s="13"/>
      <c r="K343" s="13"/>
      <c r="L343" s="4">
        <v>1</v>
      </c>
      <c r="M343" s="14">
        <f>249*(1-P3/100)</f>
        <v>249</v>
      </c>
      <c r="N343" s="15"/>
      <c r="O343" s="13">
        <f>M343*N343</f>
        <v>0</v>
      </c>
      <c r="P343" s="22">
        <f>0.382*N343</f>
        <v>0</v>
      </c>
      <c r="Q343" s="23">
        <f>0.00055*N343</f>
        <v>0</v>
      </c>
      <c r="R343" s="24"/>
      <c r="S343" s="25" t="s">
        <v>1447</v>
      </c>
      <c r="T343" s="25" t="s">
        <v>94</v>
      </c>
      <c r="U343" s="5"/>
      <c r="V343" s="5" t="s">
        <v>1448</v>
      </c>
      <c r="W343" s="5" t="s">
        <v>46</v>
      </c>
      <c r="X343" s="5"/>
      <c r="Y343" s="5"/>
      <c r="Z343" s="5" t="str">
        <f>HYPERLINK("https://knigipp.ru/api/getInfo/image/043e6b51-777c-11eb-a273-ac1f6b442184")</f>
        <v>https://knigipp.ru/api/getInfo/image/043e6b51-777c-11eb-a273-ac1f6b442184</v>
      </c>
      <c r="AA343" s="33">
        <v>80</v>
      </c>
      <c r="AB343" s="5"/>
      <c r="AC343" s="5" t="s">
        <v>219</v>
      </c>
      <c r="AD343" s="5"/>
      <c r="AE343" s="5" t="s">
        <v>49</v>
      </c>
      <c r="AF343" s="5"/>
      <c r="AG343" s="5"/>
      <c r="AH343" s="5" t="s">
        <v>1438</v>
      </c>
    </row>
    <row r="344" spans="2:34" ht="22.95" customHeight="1" outlineLevel="5" x14ac:dyDescent="0.2">
      <c r="B344" s="76" t="s">
        <v>1449</v>
      </c>
      <c r="C344" s="76"/>
      <c r="D344" s="76"/>
    </row>
    <row r="345" spans="2:34" ht="21" customHeight="1" outlineLevel="6" x14ac:dyDescent="0.2">
      <c r="B345" s="4">
        <v>233</v>
      </c>
      <c r="C345" s="5" t="s">
        <v>1450</v>
      </c>
      <c r="D345" s="5" t="s">
        <v>1451</v>
      </c>
      <c r="E345" s="6" t="s">
        <v>1452</v>
      </c>
      <c r="F345" s="10"/>
      <c r="G345" s="11" t="s">
        <v>1453</v>
      </c>
      <c r="H345" s="12">
        <v>10</v>
      </c>
      <c r="I345" s="13" t="s">
        <v>371</v>
      </c>
      <c r="J345" s="13"/>
      <c r="K345" s="13"/>
      <c r="L345" s="4">
        <v>3</v>
      </c>
      <c r="M345" s="14">
        <f>249*(1-P3/100)</f>
        <v>249</v>
      </c>
      <c r="N345" s="15"/>
      <c r="O345" s="13">
        <f>M345*N345</f>
        <v>0</v>
      </c>
      <c r="P345" s="32">
        <f>0.32*N345</f>
        <v>0</v>
      </c>
      <c r="Q345" s="23">
        <f>0.00096*N345</f>
        <v>0</v>
      </c>
      <c r="R345" s="24"/>
      <c r="S345" s="25" t="s">
        <v>1454</v>
      </c>
      <c r="T345" s="25" t="s">
        <v>94</v>
      </c>
      <c r="U345" s="5"/>
      <c r="V345" s="5"/>
      <c r="W345" s="5" t="s">
        <v>46</v>
      </c>
      <c r="X345" s="5"/>
      <c r="Y345" s="5"/>
      <c r="Z345" s="5" t="str">
        <f>HYPERLINK("https://knigipp.ru/api/getInfo/image/3be37084-59f0-11ed-a220-ac1f6b442185")</f>
        <v>https://knigipp.ru/api/getInfo/image/3be37084-59f0-11ed-a220-ac1f6b442185</v>
      </c>
      <c r="AA345" s="33">
        <v>128</v>
      </c>
      <c r="AB345" s="5" t="s">
        <v>598</v>
      </c>
      <c r="AC345" s="5" t="s">
        <v>219</v>
      </c>
      <c r="AD345" s="5"/>
      <c r="AE345" s="5" t="s">
        <v>49</v>
      </c>
      <c r="AF345" s="5"/>
      <c r="AG345" s="5"/>
      <c r="AH345" s="5" t="s">
        <v>1455</v>
      </c>
    </row>
    <row r="346" spans="2:34" ht="21" customHeight="1" outlineLevel="6" x14ac:dyDescent="0.2">
      <c r="B346" s="4">
        <v>234</v>
      </c>
      <c r="C346" s="5" t="s">
        <v>1456</v>
      </c>
      <c r="D346" s="5" t="s">
        <v>1457</v>
      </c>
      <c r="E346" s="6" t="s">
        <v>1458</v>
      </c>
      <c r="F346" s="10"/>
      <c r="G346" s="11" t="s">
        <v>1453</v>
      </c>
      <c r="H346" s="12">
        <v>10</v>
      </c>
      <c r="I346" s="13" t="s">
        <v>41</v>
      </c>
      <c r="J346" s="13"/>
      <c r="K346" s="13"/>
      <c r="L346" s="4">
        <v>3</v>
      </c>
      <c r="M346" s="14">
        <f>249*(1-P3/100)</f>
        <v>249</v>
      </c>
      <c r="N346" s="15"/>
      <c r="O346" s="13">
        <f>M346*N346</f>
        <v>0</v>
      </c>
      <c r="P346" s="22">
        <f>0.319*N346</f>
        <v>0</v>
      </c>
      <c r="Q346" s="22">
        <f>0.001*N346</f>
        <v>0</v>
      </c>
      <c r="R346" s="24"/>
      <c r="S346" s="25" t="s">
        <v>1459</v>
      </c>
      <c r="T346" s="25" t="s">
        <v>94</v>
      </c>
      <c r="U346" s="5"/>
      <c r="V346" s="5"/>
      <c r="W346" s="5" t="s">
        <v>46</v>
      </c>
      <c r="X346" s="5"/>
      <c r="Y346" s="5"/>
      <c r="Z346" s="5" t="str">
        <f>HYPERLINK("https://knigipp.ru/api/getInfo/image/1546b00b-59f0-11ed-a220-ac1f6b442185")</f>
        <v>https://knigipp.ru/api/getInfo/image/1546b00b-59f0-11ed-a220-ac1f6b442185</v>
      </c>
      <c r="AA346" s="33">
        <v>128</v>
      </c>
      <c r="AB346" s="5" t="s">
        <v>598</v>
      </c>
      <c r="AC346" s="5" t="s">
        <v>219</v>
      </c>
      <c r="AD346" s="5"/>
      <c r="AE346" s="5" t="s">
        <v>49</v>
      </c>
      <c r="AF346" s="5"/>
      <c r="AG346" s="5"/>
      <c r="AH346" s="5" t="s">
        <v>1455</v>
      </c>
    </row>
    <row r="347" spans="2:34" ht="21" customHeight="1" outlineLevel="6" x14ac:dyDescent="0.2">
      <c r="B347" s="4">
        <v>235</v>
      </c>
      <c r="C347" s="5" t="s">
        <v>1460</v>
      </c>
      <c r="D347" s="5" t="s">
        <v>1461</v>
      </c>
      <c r="E347" s="6" t="s">
        <v>1462</v>
      </c>
      <c r="F347" s="10"/>
      <c r="G347" s="11" t="s">
        <v>1453</v>
      </c>
      <c r="H347" s="12">
        <v>10</v>
      </c>
      <c r="I347" s="13" t="s">
        <v>41</v>
      </c>
      <c r="J347" s="13"/>
      <c r="K347" s="13"/>
      <c r="L347" s="4">
        <v>3</v>
      </c>
      <c r="M347" s="14">
        <f>249*(1-P3/100)</f>
        <v>249</v>
      </c>
      <c r="N347" s="15"/>
      <c r="O347" s="13">
        <f>M347*N347</f>
        <v>0</v>
      </c>
      <c r="P347" s="22">
        <f>0.319*N347</f>
        <v>0</v>
      </c>
      <c r="Q347" s="23">
        <f>0.00104*N347</f>
        <v>0</v>
      </c>
      <c r="R347" s="24"/>
      <c r="S347" s="25" t="s">
        <v>1463</v>
      </c>
      <c r="T347" s="25" t="s">
        <v>94</v>
      </c>
      <c r="U347" s="5"/>
      <c r="V347" s="5"/>
      <c r="W347" s="5" t="s">
        <v>46</v>
      </c>
      <c r="X347" s="5"/>
      <c r="Y347" s="5"/>
      <c r="Z347" s="5" t="str">
        <f>HYPERLINK("https://knigipp.ru/api/getInfo/image/c18efe5d-59ef-11ed-a220-ac1f6b442185")</f>
        <v>https://knigipp.ru/api/getInfo/image/c18efe5d-59ef-11ed-a220-ac1f6b442185</v>
      </c>
      <c r="AA347" s="33">
        <v>128</v>
      </c>
      <c r="AB347" s="5" t="s">
        <v>598</v>
      </c>
      <c r="AC347" s="5" t="s">
        <v>219</v>
      </c>
      <c r="AD347" s="5"/>
      <c r="AE347" s="5" t="s">
        <v>49</v>
      </c>
      <c r="AF347" s="5"/>
      <c r="AG347" s="5"/>
      <c r="AH347" s="5" t="s">
        <v>1455</v>
      </c>
    </row>
    <row r="348" spans="2:34" ht="21" customHeight="1" outlineLevel="6" x14ac:dyDescent="0.2">
      <c r="B348" s="4">
        <v>236</v>
      </c>
      <c r="C348" s="5" t="s">
        <v>1464</v>
      </c>
      <c r="D348" s="5" t="s">
        <v>1465</v>
      </c>
      <c r="E348" s="6" t="s">
        <v>1466</v>
      </c>
      <c r="F348" s="10"/>
      <c r="G348" s="11" t="s">
        <v>1453</v>
      </c>
      <c r="H348" s="12">
        <v>10</v>
      </c>
      <c r="I348" s="13" t="s">
        <v>41</v>
      </c>
      <c r="J348" s="13"/>
      <c r="K348" s="13"/>
      <c r="L348" s="4">
        <v>3</v>
      </c>
      <c r="M348" s="14">
        <f>249*(1-P3/100)</f>
        <v>249</v>
      </c>
      <c r="N348" s="15"/>
      <c r="O348" s="13">
        <f>M348*N348</f>
        <v>0</v>
      </c>
      <c r="P348" s="22">
        <f>0.319*N348</f>
        <v>0</v>
      </c>
      <c r="Q348" s="23">
        <f>0.00166*N348</f>
        <v>0</v>
      </c>
      <c r="R348" s="24"/>
      <c r="S348" s="25" t="s">
        <v>1467</v>
      </c>
      <c r="T348" s="25" t="s">
        <v>94</v>
      </c>
      <c r="U348" s="5"/>
      <c r="V348" s="5"/>
      <c r="W348" s="5" t="s">
        <v>46</v>
      </c>
      <c r="X348" s="5"/>
      <c r="Y348" s="5"/>
      <c r="Z348" s="5" t="str">
        <f>HYPERLINK("https://knigipp.ru/api/getInfo/image/ca852c25-59f2-11ed-a220-ac1f6b442185")</f>
        <v>https://knigipp.ru/api/getInfo/image/ca852c25-59f2-11ed-a220-ac1f6b442185</v>
      </c>
      <c r="AA348" s="33">
        <v>128</v>
      </c>
      <c r="AB348" s="5" t="s">
        <v>598</v>
      </c>
      <c r="AC348" s="5" t="s">
        <v>219</v>
      </c>
      <c r="AD348" s="5"/>
      <c r="AE348" s="5" t="s">
        <v>49</v>
      </c>
      <c r="AF348" s="5"/>
      <c r="AG348" s="5"/>
      <c r="AH348" s="5" t="s">
        <v>1455</v>
      </c>
    </row>
    <row r="349" spans="2:34" ht="22.95" customHeight="1" outlineLevel="5" x14ac:dyDescent="0.2">
      <c r="B349" s="76" t="s">
        <v>1468</v>
      </c>
      <c r="C349" s="76"/>
      <c r="D349" s="76"/>
    </row>
    <row r="350" spans="2:34" ht="21" customHeight="1" outlineLevel="6" x14ac:dyDescent="0.2">
      <c r="B350" s="4">
        <v>237</v>
      </c>
      <c r="C350" s="5" t="s">
        <v>1469</v>
      </c>
      <c r="D350" s="5" t="s">
        <v>1470</v>
      </c>
      <c r="E350" s="6" t="s">
        <v>1471</v>
      </c>
      <c r="F350" s="10"/>
      <c r="G350" s="11" t="s">
        <v>1472</v>
      </c>
      <c r="H350" s="12">
        <v>10</v>
      </c>
      <c r="I350" s="13" t="s">
        <v>41</v>
      </c>
      <c r="J350" s="13"/>
      <c r="K350" s="13"/>
      <c r="L350" s="4">
        <v>2</v>
      </c>
      <c r="M350" s="14">
        <f>399*(1-P3/100)</f>
        <v>399</v>
      </c>
      <c r="N350" s="15"/>
      <c r="O350" s="13">
        <f>M350*N350</f>
        <v>0</v>
      </c>
      <c r="P350" s="13">
        <v>0</v>
      </c>
      <c r="Q350" s="13">
        <v>0</v>
      </c>
      <c r="R350" s="24"/>
      <c r="S350" s="25" t="s">
        <v>1473</v>
      </c>
      <c r="T350" s="25" t="s">
        <v>94</v>
      </c>
      <c r="U350" s="5"/>
      <c r="V350" s="5" t="s">
        <v>1474</v>
      </c>
      <c r="W350" s="5" t="s">
        <v>46</v>
      </c>
      <c r="X350" s="5"/>
      <c r="Y350" s="5"/>
      <c r="Z350" s="5" t="str">
        <f>HYPERLINK("https://knigipp.ru/api/getInfo/image/ba47459f-b808-11ed-a230-00155d82e902")</f>
        <v>https://knigipp.ru/api/getInfo/image/ba47459f-b808-11ed-a230-00155d82e902</v>
      </c>
      <c r="AA350" s="33">
        <v>128</v>
      </c>
      <c r="AB350" s="5"/>
      <c r="AC350" s="5" t="s">
        <v>219</v>
      </c>
      <c r="AD350" s="33">
        <v>120</v>
      </c>
      <c r="AE350" s="5" t="s">
        <v>49</v>
      </c>
      <c r="AF350" s="5"/>
      <c r="AG350" s="5"/>
      <c r="AH350" s="5" t="s">
        <v>1475</v>
      </c>
    </row>
    <row r="351" spans="2:34" ht="21" customHeight="1" outlineLevel="6" x14ac:dyDescent="0.2">
      <c r="B351" s="4">
        <v>238</v>
      </c>
      <c r="C351" s="5" t="s">
        <v>1476</v>
      </c>
      <c r="D351" s="5" t="s">
        <v>1477</v>
      </c>
      <c r="E351" s="6" t="s">
        <v>1478</v>
      </c>
      <c r="F351" s="10"/>
      <c r="G351" s="11" t="s">
        <v>1472</v>
      </c>
      <c r="H351" s="12">
        <v>10</v>
      </c>
      <c r="I351" s="13" t="s">
        <v>41</v>
      </c>
      <c r="J351" s="13"/>
      <c r="K351" s="13"/>
      <c r="L351" s="4">
        <v>2</v>
      </c>
      <c r="M351" s="14">
        <f>399*(1-P3/100)</f>
        <v>399</v>
      </c>
      <c r="N351" s="15"/>
      <c r="O351" s="13">
        <f>M351*N351</f>
        <v>0</v>
      </c>
      <c r="P351" s="22">
        <f>0.615*N351</f>
        <v>0</v>
      </c>
      <c r="Q351" s="23">
        <f>0.00133*N351</f>
        <v>0</v>
      </c>
      <c r="R351" s="24"/>
      <c r="S351" s="25" t="s">
        <v>1479</v>
      </c>
      <c r="T351" s="25" t="s">
        <v>94</v>
      </c>
      <c r="U351" s="5"/>
      <c r="V351" s="5" t="s">
        <v>1480</v>
      </c>
      <c r="W351" s="5" t="s">
        <v>46</v>
      </c>
      <c r="X351" s="5"/>
      <c r="Y351" s="5"/>
      <c r="Z351" s="5" t="str">
        <f>HYPERLINK("https://knigipp.ru/api/getInfo/image/4377a2b1-b808-11ed-a230-00155d82e902")</f>
        <v>https://knigipp.ru/api/getInfo/image/4377a2b1-b808-11ed-a230-00155d82e902</v>
      </c>
      <c r="AA351" s="33">
        <v>128</v>
      </c>
      <c r="AB351" s="5"/>
      <c r="AC351" s="5" t="s">
        <v>219</v>
      </c>
      <c r="AD351" s="33">
        <v>120</v>
      </c>
      <c r="AE351" s="5" t="s">
        <v>49</v>
      </c>
      <c r="AF351" s="5"/>
      <c r="AG351" s="5"/>
      <c r="AH351" s="5" t="s">
        <v>1475</v>
      </c>
    </row>
    <row r="352" spans="2:34" ht="22.95" customHeight="1" outlineLevel="5" x14ac:dyDescent="0.2">
      <c r="B352" s="76" t="s">
        <v>1481</v>
      </c>
      <c r="C352" s="76"/>
      <c r="D352" s="76"/>
    </row>
    <row r="353" spans="2:34" ht="21" customHeight="1" outlineLevel="6" x14ac:dyDescent="0.2">
      <c r="B353" s="4">
        <v>239</v>
      </c>
      <c r="C353" s="5" t="s">
        <v>1482</v>
      </c>
      <c r="D353" s="5" t="s">
        <v>1483</v>
      </c>
      <c r="E353" s="6" t="s">
        <v>1484</v>
      </c>
      <c r="F353" s="10"/>
      <c r="G353" s="11" t="s">
        <v>1485</v>
      </c>
      <c r="H353" s="12">
        <v>20</v>
      </c>
      <c r="I353" s="13" t="s">
        <v>41</v>
      </c>
      <c r="J353" s="13"/>
      <c r="K353" s="13"/>
      <c r="L353" s="4">
        <v>4</v>
      </c>
      <c r="M353" s="14">
        <f>147*(1-P3/100)</f>
        <v>147</v>
      </c>
      <c r="N353" s="15"/>
      <c r="O353" s="13">
        <f>M353*N353</f>
        <v>0</v>
      </c>
      <c r="P353" s="13">
        <v>0</v>
      </c>
      <c r="Q353" s="13">
        <v>0</v>
      </c>
      <c r="R353" s="24"/>
      <c r="S353" s="25" t="s">
        <v>1486</v>
      </c>
      <c r="T353" s="25" t="s">
        <v>94</v>
      </c>
      <c r="U353" s="5"/>
      <c r="V353" s="5" t="s">
        <v>1487</v>
      </c>
      <c r="W353" s="5" t="s">
        <v>46</v>
      </c>
      <c r="X353" s="5"/>
      <c r="Y353" s="5"/>
      <c r="Z353" s="5" t="str">
        <f>HYPERLINK("https://knigipp.ru/api/getInfo/image/6fb3cc9f-1cc1-11ef-a25e-00155d82e908")</f>
        <v>https://knigipp.ru/api/getInfo/image/6fb3cc9f-1cc1-11ef-a25e-00155d82e908</v>
      </c>
      <c r="AA353" s="33">
        <v>40</v>
      </c>
      <c r="AB353" s="5" t="s">
        <v>574</v>
      </c>
      <c r="AC353" s="5" t="s">
        <v>219</v>
      </c>
      <c r="AD353" s="5"/>
      <c r="AE353" s="5" t="s">
        <v>49</v>
      </c>
      <c r="AF353" s="5"/>
      <c r="AG353" s="5"/>
      <c r="AH353" s="5" t="s">
        <v>1488</v>
      </c>
    </row>
    <row r="354" spans="2:34" ht="22.95" customHeight="1" outlineLevel="5" x14ac:dyDescent="0.2">
      <c r="B354" s="76" t="s">
        <v>1489</v>
      </c>
      <c r="C354" s="76"/>
      <c r="D354" s="76"/>
    </row>
    <row r="355" spans="2:34" ht="21" customHeight="1" outlineLevel="6" x14ac:dyDescent="0.2">
      <c r="B355" s="4">
        <v>240</v>
      </c>
      <c r="C355" s="5" t="s">
        <v>1490</v>
      </c>
      <c r="D355" s="5" t="s">
        <v>1491</v>
      </c>
      <c r="E355" s="6" t="s">
        <v>1492</v>
      </c>
      <c r="F355" s="10"/>
      <c r="G355" s="11" t="s">
        <v>1493</v>
      </c>
      <c r="H355" s="12">
        <v>20</v>
      </c>
      <c r="I355" s="13" t="s">
        <v>41</v>
      </c>
      <c r="J355" s="13"/>
      <c r="K355" s="13"/>
      <c r="L355" s="4">
        <v>4</v>
      </c>
      <c r="M355" s="14">
        <f>169*(1-P3/100)</f>
        <v>169</v>
      </c>
      <c r="N355" s="15"/>
      <c r="O355" s="13">
        <f>M355*N355</f>
        <v>0</v>
      </c>
      <c r="P355" s="22">
        <f>0.213*N355</f>
        <v>0</v>
      </c>
      <c r="Q355" s="23">
        <f>0.00044*N355</f>
        <v>0</v>
      </c>
      <c r="R355" s="24"/>
      <c r="S355" s="25" t="s">
        <v>1494</v>
      </c>
      <c r="T355" s="25" t="s">
        <v>94</v>
      </c>
      <c r="U355" s="5"/>
      <c r="V355" s="5"/>
      <c r="W355" s="5" t="s">
        <v>46</v>
      </c>
      <c r="X355" s="5"/>
      <c r="Y355" s="5"/>
      <c r="Z355" s="5" t="str">
        <f>HYPERLINK("https://knigipp.ru/api/getInfo/image/09f6267f-4d4a-11ee-a244-00155d82e902")</f>
        <v>https://knigipp.ru/api/getInfo/image/09f6267f-4d4a-11ee-a244-00155d82e902</v>
      </c>
      <c r="AA355" s="33">
        <v>40</v>
      </c>
      <c r="AB355" s="5" t="s">
        <v>574</v>
      </c>
      <c r="AC355" s="5" t="s">
        <v>219</v>
      </c>
      <c r="AD355" s="5"/>
      <c r="AE355" s="5" t="s">
        <v>49</v>
      </c>
      <c r="AF355" s="5"/>
      <c r="AG355" s="5"/>
      <c r="AH355" s="5" t="s">
        <v>1495</v>
      </c>
    </row>
    <row r="356" spans="2:34" ht="21" customHeight="1" outlineLevel="6" x14ac:dyDescent="0.2">
      <c r="B356" s="4">
        <v>241</v>
      </c>
      <c r="C356" s="5" t="s">
        <v>1496</v>
      </c>
      <c r="D356" s="5" t="s">
        <v>1497</v>
      </c>
      <c r="E356" s="6" t="s">
        <v>1498</v>
      </c>
      <c r="F356" s="10"/>
      <c r="G356" s="11" t="s">
        <v>1493</v>
      </c>
      <c r="H356" s="12">
        <v>20</v>
      </c>
      <c r="I356" s="13" t="s">
        <v>41</v>
      </c>
      <c r="J356" s="13"/>
      <c r="K356" s="13"/>
      <c r="L356" s="4">
        <v>4</v>
      </c>
      <c r="M356" s="14">
        <f>169*(1-P3/100)</f>
        <v>169</v>
      </c>
      <c r="N356" s="15"/>
      <c r="O356" s="13">
        <f>M356*N356</f>
        <v>0</v>
      </c>
      <c r="P356" s="22">
        <f>0.207*N356</f>
        <v>0</v>
      </c>
      <c r="Q356" s="23">
        <f>0.00043*N356</f>
        <v>0</v>
      </c>
      <c r="R356" s="24"/>
      <c r="S356" s="25" t="s">
        <v>1499</v>
      </c>
      <c r="T356" s="25" t="s">
        <v>94</v>
      </c>
      <c r="U356" s="5"/>
      <c r="V356" s="5"/>
      <c r="W356" s="5" t="s">
        <v>46</v>
      </c>
      <c r="X356" s="5"/>
      <c r="Y356" s="5"/>
      <c r="Z356" s="5" t="str">
        <f>HYPERLINK("https://knigipp.ru/api/getInfo/image/7ad419b0-4d4a-11ee-a244-00155d82e902")</f>
        <v>https://knigipp.ru/api/getInfo/image/7ad419b0-4d4a-11ee-a244-00155d82e902</v>
      </c>
      <c r="AA356" s="33">
        <v>40</v>
      </c>
      <c r="AB356" s="5" t="s">
        <v>574</v>
      </c>
      <c r="AC356" s="5" t="s">
        <v>219</v>
      </c>
      <c r="AD356" s="5"/>
      <c r="AE356" s="5" t="s">
        <v>49</v>
      </c>
      <c r="AF356" s="5"/>
      <c r="AG356" s="5"/>
      <c r="AH356" s="5" t="s">
        <v>1495</v>
      </c>
    </row>
    <row r="357" spans="2:34" ht="21" customHeight="1" outlineLevel="6" x14ac:dyDescent="0.2">
      <c r="B357" s="4">
        <v>242</v>
      </c>
      <c r="C357" s="5" t="s">
        <v>1500</v>
      </c>
      <c r="D357" s="5" t="s">
        <v>1501</v>
      </c>
      <c r="E357" s="6" t="s">
        <v>1502</v>
      </c>
      <c r="F357" s="10"/>
      <c r="G357" s="11" t="s">
        <v>1493</v>
      </c>
      <c r="H357" s="12">
        <v>20</v>
      </c>
      <c r="I357" s="13" t="s">
        <v>41</v>
      </c>
      <c r="J357" s="13"/>
      <c r="K357" s="13"/>
      <c r="L357" s="4">
        <v>4</v>
      </c>
      <c r="M357" s="14">
        <f>169*(1-P3/100)</f>
        <v>169</v>
      </c>
      <c r="N357" s="15"/>
      <c r="O357" s="13">
        <f>M357*N357</f>
        <v>0</v>
      </c>
      <c r="P357" s="22">
        <f>0.213*N357</f>
        <v>0</v>
      </c>
      <c r="Q357" s="23">
        <f>0.00048*N357</f>
        <v>0</v>
      </c>
      <c r="R357" s="24"/>
      <c r="S357" s="25" t="s">
        <v>1503</v>
      </c>
      <c r="T357" s="25" t="s">
        <v>94</v>
      </c>
      <c r="U357" s="5"/>
      <c r="V357" s="5"/>
      <c r="W357" s="5" t="s">
        <v>46</v>
      </c>
      <c r="X357" s="5"/>
      <c r="Y357" s="5"/>
      <c r="Z357" s="5" t="str">
        <f>HYPERLINK("https://knigipp.ru/api/getInfo/image/5bdf0c89-4d4a-11ee-a244-00155d82e902")</f>
        <v>https://knigipp.ru/api/getInfo/image/5bdf0c89-4d4a-11ee-a244-00155d82e902</v>
      </c>
      <c r="AA357" s="33">
        <v>40</v>
      </c>
      <c r="AB357" s="5" t="s">
        <v>574</v>
      </c>
      <c r="AC357" s="5" t="s">
        <v>219</v>
      </c>
      <c r="AD357" s="5"/>
      <c r="AE357" s="5" t="s">
        <v>49</v>
      </c>
      <c r="AF357" s="5"/>
      <c r="AG357" s="5"/>
      <c r="AH357" s="5" t="s">
        <v>1495</v>
      </c>
    </row>
    <row r="358" spans="2:34" ht="21" customHeight="1" outlineLevel="6" x14ac:dyDescent="0.2">
      <c r="B358" s="4">
        <v>243</v>
      </c>
      <c r="C358" s="5" t="s">
        <v>1504</v>
      </c>
      <c r="D358" s="5" t="s">
        <v>1505</v>
      </c>
      <c r="E358" s="6" t="s">
        <v>1506</v>
      </c>
      <c r="F358" s="10"/>
      <c r="G358" s="11" t="s">
        <v>1493</v>
      </c>
      <c r="H358" s="12">
        <v>20</v>
      </c>
      <c r="I358" s="13" t="s">
        <v>41</v>
      </c>
      <c r="J358" s="13"/>
      <c r="K358" s="13"/>
      <c r="L358" s="4">
        <v>4</v>
      </c>
      <c r="M358" s="14">
        <f>169*(1-P3/100)</f>
        <v>169</v>
      </c>
      <c r="N358" s="15"/>
      <c r="O358" s="13">
        <f>M358*N358</f>
        <v>0</v>
      </c>
      <c r="P358" s="22">
        <f>0.215*N358</f>
        <v>0</v>
      </c>
      <c r="Q358" s="30">
        <f>0.0004*N358</f>
        <v>0</v>
      </c>
      <c r="R358" s="24"/>
      <c r="S358" s="25" t="s">
        <v>1507</v>
      </c>
      <c r="T358" s="25" t="s">
        <v>94</v>
      </c>
      <c r="U358" s="5"/>
      <c r="V358" s="5"/>
      <c r="W358" s="5" t="s">
        <v>46</v>
      </c>
      <c r="X358" s="5"/>
      <c r="Y358" s="5"/>
      <c r="Z358" s="5" t="str">
        <f>HYPERLINK("https://knigipp.ru/api/getInfo/image/9a642918-4d4a-11ee-a244-00155d82e902")</f>
        <v>https://knigipp.ru/api/getInfo/image/9a642918-4d4a-11ee-a244-00155d82e902</v>
      </c>
      <c r="AA358" s="33">
        <v>40</v>
      </c>
      <c r="AB358" s="5" t="s">
        <v>574</v>
      </c>
      <c r="AC358" s="5" t="s">
        <v>219</v>
      </c>
      <c r="AD358" s="5"/>
      <c r="AE358" s="5" t="s">
        <v>49</v>
      </c>
      <c r="AF358" s="5"/>
      <c r="AG358" s="5"/>
      <c r="AH358" s="5" t="s">
        <v>1495</v>
      </c>
    </row>
    <row r="359" spans="2:34" ht="22.95" customHeight="1" outlineLevel="5" x14ac:dyDescent="0.2">
      <c r="B359" s="76" t="s">
        <v>1508</v>
      </c>
      <c r="C359" s="76"/>
      <c r="D359" s="76"/>
    </row>
    <row r="360" spans="2:34" ht="21" customHeight="1" outlineLevel="6" x14ac:dyDescent="0.2">
      <c r="B360" s="4">
        <v>244</v>
      </c>
      <c r="C360" s="5" t="s">
        <v>1509</v>
      </c>
      <c r="D360" s="5" t="s">
        <v>1510</v>
      </c>
      <c r="E360" s="6" t="s">
        <v>1511</v>
      </c>
      <c r="F360" s="10"/>
      <c r="G360" s="11" t="s">
        <v>1512</v>
      </c>
      <c r="H360" s="12">
        <v>34</v>
      </c>
      <c r="I360" s="13" t="s">
        <v>261</v>
      </c>
      <c r="J360" s="13"/>
      <c r="K360" s="13"/>
      <c r="L360" s="4">
        <v>2</v>
      </c>
      <c r="M360" s="14">
        <f>309*(1-P3/100)</f>
        <v>309</v>
      </c>
      <c r="N360" s="15"/>
      <c r="O360" s="13">
        <f>M360*N360</f>
        <v>0</v>
      </c>
      <c r="P360" s="22">
        <f>0.156*N360</f>
        <v>0</v>
      </c>
      <c r="Q360" s="23">
        <f>0.00047*N360</f>
        <v>0</v>
      </c>
      <c r="R360" s="24"/>
      <c r="S360" s="25" t="s">
        <v>1513</v>
      </c>
      <c r="T360" s="25" t="s">
        <v>94</v>
      </c>
      <c r="U360" s="5"/>
      <c r="V360" s="5"/>
      <c r="W360" s="5" t="s">
        <v>46</v>
      </c>
      <c r="X360" s="5"/>
      <c r="Y360" s="5"/>
      <c r="Z360" s="5" t="str">
        <f>HYPERLINK("https://knigipp.ru/api/getInfo/image/b97fa1f3-adaa-11eb-a201-ac1f6b442185")</f>
        <v>https://knigipp.ru/api/getInfo/image/b97fa1f3-adaa-11eb-a201-ac1f6b442185</v>
      </c>
      <c r="AA360" s="33">
        <v>80</v>
      </c>
      <c r="AB360" s="5"/>
      <c r="AC360" s="5" t="s">
        <v>219</v>
      </c>
      <c r="AD360" s="33">
        <v>100</v>
      </c>
      <c r="AE360" s="5" t="s">
        <v>49</v>
      </c>
      <c r="AF360" s="5"/>
      <c r="AG360" s="5"/>
      <c r="AH360" s="5" t="s">
        <v>1514</v>
      </c>
    </row>
    <row r="361" spans="2:34" ht="21" customHeight="1" outlineLevel="6" x14ac:dyDescent="0.2">
      <c r="B361" s="4">
        <v>245</v>
      </c>
      <c r="C361" s="5" t="s">
        <v>1515</v>
      </c>
      <c r="D361" s="5" t="s">
        <v>1516</v>
      </c>
      <c r="E361" s="6" t="s">
        <v>1517</v>
      </c>
      <c r="F361" s="10"/>
      <c r="G361" s="11" t="s">
        <v>1512</v>
      </c>
      <c r="H361" s="12">
        <v>34</v>
      </c>
      <c r="I361" s="13" t="s">
        <v>41</v>
      </c>
      <c r="J361" s="13"/>
      <c r="K361" s="13"/>
      <c r="L361" s="4">
        <v>2</v>
      </c>
      <c r="M361" s="14">
        <f>309*(1-P3/100)</f>
        <v>309</v>
      </c>
      <c r="N361" s="15"/>
      <c r="O361" s="13">
        <f>M361*N361</f>
        <v>0</v>
      </c>
      <c r="P361" s="22">
        <f>0.155*N361</f>
        <v>0</v>
      </c>
      <c r="Q361" s="23">
        <f>0.00032*N361</f>
        <v>0</v>
      </c>
      <c r="R361" s="24"/>
      <c r="S361" s="25" t="s">
        <v>1518</v>
      </c>
      <c r="T361" s="25" t="s">
        <v>94</v>
      </c>
      <c r="U361" s="5"/>
      <c r="V361" s="5"/>
      <c r="W361" s="5" t="s">
        <v>46</v>
      </c>
      <c r="X361" s="5"/>
      <c r="Y361" s="5"/>
      <c r="Z361" s="5" t="str">
        <f>HYPERLINK("https://knigipp.ru/api/getInfo/image/5cf389f1-adaa-11eb-a201-ac1f6b442185")</f>
        <v>https://knigipp.ru/api/getInfo/image/5cf389f1-adaa-11eb-a201-ac1f6b442185</v>
      </c>
      <c r="AA361" s="33">
        <v>80</v>
      </c>
      <c r="AB361" s="5"/>
      <c r="AC361" s="5" t="s">
        <v>219</v>
      </c>
      <c r="AD361" s="33">
        <v>100</v>
      </c>
      <c r="AE361" s="5" t="s">
        <v>49</v>
      </c>
      <c r="AF361" s="5"/>
      <c r="AG361" s="5"/>
      <c r="AH361" s="5" t="s">
        <v>1514</v>
      </c>
    </row>
    <row r="362" spans="2:34" ht="21" customHeight="1" outlineLevel="6" x14ac:dyDescent="0.2">
      <c r="B362" s="4">
        <v>246</v>
      </c>
      <c r="C362" s="5" t="s">
        <v>1519</v>
      </c>
      <c r="D362" s="5" t="s">
        <v>1520</v>
      </c>
      <c r="E362" s="6" t="s">
        <v>1521</v>
      </c>
      <c r="F362" s="10"/>
      <c r="G362" s="11" t="s">
        <v>1512</v>
      </c>
      <c r="H362" s="12">
        <v>34</v>
      </c>
      <c r="I362" s="13" t="s">
        <v>41</v>
      </c>
      <c r="J362" s="13"/>
      <c r="K362" s="13"/>
      <c r="L362" s="4">
        <v>2</v>
      </c>
      <c r="M362" s="14">
        <f>309*(1-P3/100)</f>
        <v>309</v>
      </c>
      <c r="N362" s="15"/>
      <c r="O362" s="13">
        <f>M362*N362</f>
        <v>0</v>
      </c>
      <c r="P362" s="22">
        <f>0.155*N362</f>
        <v>0</v>
      </c>
      <c r="Q362" s="23">
        <f>0.00047*N362</f>
        <v>0</v>
      </c>
      <c r="R362" s="24"/>
      <c r="S362" s="25" t="s">
        <v>1522</v>
      </c>
      <c r="T362" s="25" t="s">
        <v>94</v>
      </c>
      <c r="U362" s="5"/>
      <c r="V362" s="5"/>
      <c r="W362" s="5" t="s">
        <v>46</v>
      </c>
      <c r="X362" s="5"/>
      <c r="Y362" s="5"/>
      <c r="Z362" s="5" t="str">
        <f>HYPERLINK("https://knigipp.ru/api/getInfo/image/91c94e49-adaa-11eb-a201-ac1f6b442185")</f>
        <v>https://knigipp.ru/api/getInfo/image/91c94e49-adaa-11eb-a201-ac1f6b442185</v>
      </c>
      <c r="AA362" s="33">
        <v>80</v>
      </c>
      <c r="AB362" s="5"/>
      <c r="AC362" s="5" t="s">
        <v>219</v>
      </c>
      <c r="AD362" s="33">
        <v>100</v>
      </c>
      <c r="AE362" s="5" t="s">
        <v>49</v>
      </c>
      <c r="AF362" s="5"/>
      <c r="AG362" s="5"/>
      <c r="AH362" s="5" t="s">
        <v>1514</v>
      </c>
    </row>
    <row r="363" spans="2:34" ht="22.95" customHeight="1" outlineLevel="4" x14ac:dyDescent="0.2">
      <c r="B363" s="75" t="s">
        <v>1523</v>
      </c>
      <c r="C363" s="75"/>
      <c r="D363" s="75"/>
    </row>
    <row r="364" spans="2:34" ht="21" customHeight="1" outlineLevel="5" x14ac:dyDescent="0.2">
      <c r="B364" s="4">
        <v>247</v>
      </c>
      <c r="C364" s="5" t="s">
        <v>1524</v>
      </c>
      <c r="D364" s="5" t="s">
        <v>1525</v>
      </c>
      <c r="E364" s="6" t="s">
        <v>1526</v>
      </c>
      <c r="F364" s="10"/>
      <c r="G364" s="11" t="s">
        <v>1527</v>
      </c>
      <c r="H364" s="12">
        <v>24</v>
      </c>
      <c r="I364" s="13" t="s">
        <v>371</v>
      </c>
      <c r="J364" s="13"/>
      <c r="K364" s="13"/>
      <c r="L364" s="4">
        <v>3</v>
      </c>
      <c r="M364" s="14">
        <f>209*(1-P3/100)</f>
        <v>209</v>
      </c>
      <c r="N364" s="15"/>
      <c r="O364" s="13">
        <f>M364*N364</f>
        <v>0</v>
      </c>
      <c r="P364" s="22">
        <f>0.241*N364</f>
        <v>0</v>
      </c>
      <c r="Q364" s="23">
        <f>0.00042*N364</f>
        <v>0</v>
      </c>
      <c r="R364" s="24"/>
      <c r="S364" s="25" t="s">
        <v>1528</v>
      </c>
      <c r="T364" s="25" t="s">
        <v>94</v>
      </c>
      <c r="U364" s="5"/>
      <c r="V364" s="5" t="s">
        <v>1529</v>
      </c>
      <c r="W364" s="5" t="s">
        <v>46</v>
      </c>
      <c r="X364" s="5" t="s">
        <v>1530</v>
      </c>
      <c r="Y364" s="5"/>
      <c r="Z364" s="5" t="str">
        <f>HYPERLINK("https://knigipp.ru/api/getInfo/image/3bd4cf1d-1a68-11ee-a23b-00155d82e902")</f>
        <v>https://knigipp.ru/api/getInfo/image/3bd4cf1d-1a68-11ee-a23b-00155d82e902</v>
      </c>
      <c r="AA364" s="33">
        <v>128</v>
      </c>
      <c r="AB364" s="5"/>
      <c r="AC364" s="5" t="s">
        <v>86</v>
      </c>
      <c r="AD364" s="5"/>
      <c r="AE364" s="5" t="s">
        <v>49</v>
      </c>
      <c r="AF364" s="5"/>
      <c r="AG364" s="5"/>
      <c r="AH364" s="5" t="s">
        <v>1531</v>
      </c>
    </row>
    <row r="365" spans="2:34" ht="21" customHeight="1" outlineLevel="5" x14ac:dyDescent="0.2">
      <c r="B365" s="4">
        <v>248</v>
      </c>
      <c r="C365" s="5" t="s">
        <v>1532</v>
      </c>
      <c r="D365" s="5" t="s">
        <v>1533</v>
      </c>
      <c r="E365" s="6" t="s">
        <v>1534</v>
      </c>
      <c r="F365" s="10"/>
      <c r="G365" s="11" t="s">
        <v>1527</v>
      </c>
      <c r="H365" s="12">
        <v>24</v>
      </c>
      <c r="I365" s="13" t="s">
        <v>371</v>
      </c>
      <c r="J365" s="13"/>
      <c r="K365" s="13"/>
      <c r="L365" s="4">
        <v>3</v>
      </c>
      <c r="M365" s="14">
        <f>209*(1-P3/100)</f>
        <v>209</v>
      </c>
      <c r="N365" s="15"/>
      <c r="O365" s="13">
        <f>M365*N365</f>
        <v>0</v>
      </c>
      <c r="P365" s="22">
        <f>0.244*N365</f>
        <v>0</v>
      </c>
      <c r="Q365" s="23">
        <f>0.00039*N365</f>
        <v>0</v>
      </c>
      <c r="R365" s="24"/>
      <c r="S365" s="25" t="s">
        <v>1535</v>
      </c>
      <c r="T365" s="25" t="s">
        <v>94</v>
      </c>
      <c r="U365" s="5"/>
      <c r="V365" s="5" t="s">
        <v>1536</v>
      </c>
      <c r="W365" s="5" t="s">
        <v>46</v>
      </c>
      <c r="X365" s="5" t="s">
        <v>1530</v>
      </c>
      <c r="Y365" s="5"/>
      <c r="Z365" s="5" t="str">
        <f>HYPERLINK("https://knigipp.ru/api/getInfo/image/5e290833-1a68-11ee-a23b-00155d82e902")</f>
        <v>https://knigipp.ru/api/getInfo/image/5e290833-1a68-11ee-a23b-00155d82e902</v>
      </c>
      <c r="AA365" s="33">
        <v>128</v>
      </c>
      <c r="AB365" s="5"/>
      <c r="AC365" s="5" t="s">
        <v>86</v>
      </c>
      <c r="AD365" s="5"/>
      <c r="AE365" s="5" t="s">
        <v>49</v>
      </c>
      <c r="AF365" s="5"/>
      <c r="AG365" s="5"/>
      <c r="AH365" s="5" t="s">
        <v>1531</v>
      </c>
    </row>
    <row r="366" spans="2:34" ht="22.95" customHeight="1" outlineLevel="4" x14ac:dyDescent="0.2">
      <c r="B366" s="75" t="s">
        <v>1537</v>
      </c>
      <c r="C366" s="75"/>
      <c r="D366" s="75"/>
    </row>
    <row r="367" spans="2:34" ht="21" customHeight="1" outlineLevel="5" x14ac:dyDescent="0.2">
      <c r="B367" s="4">
        <v>249</v>
      </c>
      <c r="C367" s="5" t="s">
        <v>1538</v>
      </c>
      <c r="D367" s="5" t="s">
        <v>1539</v>
      </c>
      <c r="E367" s="6" t="s">
        <v>1540</v>
      </c>
      <c r="F367" s="10"/>
      <c r="G367" s="11" t="s">
        <v>1541</v>
      </c>
      <c r="H367" s="12">
        <v>20</v>
      </c>
      <c r="I367" s="13" t="s">
        <v>371</v>
      </c>
      <c r="J367" s="13"/>
      <c r="K367" s="13"/>
      <c r="L367" s="4">
        <v>5</v>
      </c>
      <c r="M367" s="14">
        <f>135.2*(1-P3/100)</f>
        <v>135.19999999999999</v>
      </c>
      <c r="N367" s="15"/>
      <c r="O367" s="13">
        <f>M367*N367</f>
        <v>0</v>
      </c>
      <c r="P367" s="13">
        <v>0</v>
      </c>
      <c r="Q367" s="13">
        <v>0</v>
      </c>
      <c r="R367" s="24"/>
      <c r="S367" s="25" t="s">
        <v>1542</v>
      </c>
      <c r="T367" s="25" t="s">
        <v>94</v>
      </c>
      <c r="U367" s="5"/>
      <c r="V367" s="5"/>
      <c r="W367" s="5" t="s">
        <v>46</v>
      </c>
      <c r="X367" s="5"/>
      <c r="Y367" s="5"/>
      <c r="Z367" s="5" t="str">
        <f>HYPERLINK("https://knigipp.ru/api/getInfo/image/5a8e183b-5350-11ec-a20f-ac1f6b442185")</f>
        <v>https://knigipp.ru/api/getInfo/image/5a8e183b-5350-11ec-a20f-ac1f6b442185</v>
      </c>
      <c r="AA367" s="33">
        <v>128</v>
      </c>
      <c r="AB367" s="5"/>
      <c r="AC367" s="5" t="s">
        <v>86</v>
      </c>
      <c r="AD367" s="33">
        <v>120</v>
      </c>
      <c r="AE367" s="5" t="s">
        <v>49</v>
      </c>
      <c r="AF367" s="5"/>
      <c r="AG367" s="5"/>
      <c r="AH367" s="5" t="s">
        <v>1543</v>
      </c>
    </row>
    <row r="368" spans="2:34" ht="22.95" customHeight="1" outlineLevel="4" x14ac:dyDescent="0.2">
      <c r="B368" s="75" t="s">
        <v>1544</v>
      </c>
      <c r="C368" s="75"/>
      <c r="D368" s="75"/>
    </row>
    <row r="369" spans="2:34" ht="21" customHeight="1" outlineLevel="5" x14ac:dyDescent="0.2">
      <c r="B369" s="4">
        <v>250</v>
      </c>
      <c r="C369" s="5" t="s">
        <v>1545</v>
      </c>
      <c r="D369" s="5" t="s">
        <v>1546</v>
      </c>
      <c r="E369" s="6" t="s">
        <v>1547</v>
      </c>
      <c r="F369" s="10"/>
      <c r="G369" s="11" t="s">
        <v>1548</v>
      </c>
      <c r="H369" s="12">
        <v>20</v>
      </c>
      <c r="I369" s="13" t="s">
        <v>371</v>
      </c>
      <c r="J369" s="13"/>
      <c r="K369" s="13"/>
      <c r="L369" s="4">
        <v>7</v>
      </c>
      <c r="M369" s="14">
        <f>93.5*(1-P3/100)</f>
        <v>93.5</v>
      </c>
      <c r="N369" s="15"/>
      <c r="O369" s="13">
        <f>M369*N369</f>
        <v>0</v>
      </c>
      <c r="P369" s="13">
        <v>0</v>
      </c>
      <c r="Q369" s="13">
        <v>0</v>
      </c>
      <c r="R369" s="24"/>
      <c r="S369" s="25" t="s">
        <v>1549</v>
      </c>
      <c r="T369" s="25" t="s">
        <v>94</v>
      </c>
      <c r="U369" s="5"/>
      <c r="V369" s="5"/>
      <c r="W369" s="5" t="s">
        <v>46</v>
      </c>
      <c r="X369" s="5"/>
      <c r="Y369" s="5"/>
      <c r="Z369" s="5" t="str">
        <f>HYPERLINK("https://knigipp.ru/api/getInfo/image/e78543c3-e19f-11ec-a213-ac1f6b442185")</f>
        <v>https://knigipp.ru/api/getInfo/image/e78543c3-e19f-11ec-a213-ac1f6b442185</v>
      </c>
      <c r="AA369" s="33">
        <v>160</v>
      </c>
      <c r="AB369" s="5"/>
      <c r="AC369" s="5" t="s">
        <v>48</v>
      </c>
      <c r="AD369" s="33">
        <v>100</v>
      </c>
      <c r="AE369" s="5" t="s">
        <v>49</v>
      </c>
      <c r="AF369" s="5"/>
      <c r="AG369" s="5"/>
      <c r="AH369" s="5" t="s">
        <v>1550</v>
      </c>
    </row>
    <row r="370" spans="2:34" ht="21" customHeight="1" outlineLevel="5" x14ac:dyDescent="0.2">
      <c r="B370" s="4">
        <v>251</v>
      </c>
      <c r="C370" s="5" t="s">
        <v>1551</v>
      </c>
      <c r="D370" s="5" t="s">
        <v>1552</v>
      </c>
      <c r="E370" s="6" t="s">
        <v>1553</v>
      </c>
      <c r="F370" s="10"/>
      <c r="G370" s="11" t="s">
        <v>1548</v>
      </c>
      <c r="H370" s="12">
        <v>20</v>
      </c>
      <c r="I370" s="13" t="s">
        <v>261</v>
      </c>
      <c r="J370" s="13"/>
      <c r="K370" s="13"/>
      <c r="L370" s="4">
        <v>7</v>
      </c>
      <c r="M370" s="14">
        <f>93.5*(1-P3/100)</f>
        <v>93.5</v>
      </c>
      <c r="N370" s="15"/>
      <c r="O370" s="13">
        <f>M370*N370</f>
        <v>0</v>
      </c>
      <c r="P370" s="13">
        <v>0</v>
      </c>
      <c r="Q370" s="13">
        <v>0</v>
      </c>
      <c r="R370" s="24"/>
      <c r="S370" s="25" t="s">
        <v>1554</v>
      </c>
      <c r="T370" s="25" t="s">
        <v>94</v>
      </c>
      <c r="U370" s="5"/>
      <c r="V370" s="5"/>
      <c r="W370" s="5" t="s">
        <v>46</v>
      </c>
      <c r="X370" s="5"/>
      <c r="Y370" s="5"/>
      <c r="Z370" s="5" t="str">
        <f>HYPERLINK("https://knigipp.ru/api/getInfo/image/a87b77eb-e19f-11ec-a213-ac1f6b442185")</f>
        <v>https://knigipp.ru/api/getInfo/image/a87b77eb-e19f-11ec-a213-ac1f6b442185</v>
      </c>
      <c r="AA370" s="33">
        <v>160</v>
      </c>
      <c r="AB370" s="5"/>
      <c r="AC370" s="5" t="s">
        <v>48</v>
      </c>
      <c r="AD370" s="33">
        <v>100</v>
      </c>
      <c r="AE370" s="5" t="s">
        <v>49</v>
      </c>
      <c r="AF370" s="5"/>
      <c r="AG370" s="5"/>
      <c r="AH370" s="5" t="s">
        <v>1550</v>
      </c>
    </row>
    <row r="371" spans="2:34" ht="21" customHeight="1" outlineLevel="5" x14ac:dyDescent="0.2">
      <c r="B371" s="4">
        <v>252</v>
      </c>
      <c r="C371" s="5" t="s">
        <v>1555</v>
      </c>
      <c r="D371" s="5" t="s">
        <v>1556</v>
      </c>
      <c r="E371" s="6" t="s">
        <v>1557</v>
      </c>
      <c r="F371" s="10"/>
      <c r="G371" s="11" t="s">
        <v>1548</v>
      </c>
      <c r="H371" s="12">
        <v>20</v>
      </c>
      <c r="I371" s="13" t="s">
        <v>371</v>
      </c>
      <c r="J371" s="13"/>
      <c r="K371" s="13"/>
      <c r="L371" s="4">
        <v>7</v>
      </c>
      <c r="M371" s="14">
        <f>93.5*(1-P3/100)</f>
        <v>93.5</v>
      </c>
      <c r="N371" s="15"/>
      <c r="O371" s="13">
        <f>M371*N371</f>
        <v>0</v>
      </c>
      <c r="P371" s="13">
        <v>0</v>
      </c>
      <c r="Q371" s="13">
        <v>0</v>
      </c>
      <c r="R371" s="24"/>
      <c r="S371" s="25" t="s">
        <v>1558</v>
      </c>
      <c r="T371" s="25" t="s">
        <v>94</v>
      </c>
      <c r="U371" s="5"/>
      <c r="V371" s="5"/>
      <c r="W371" s="5" t="s">
        <v>46</v>
      </c>
      <c r="X371" s="5"/>
      <c r="Y371" s="5"/>
      <c r="Z371" s="5" t="str">
        <f>HYPERLINK("https://knigipp.ru/api/getInfo/image/749b5581-59ee-11ed-a220-ac1f6b442185")</f>
        <v>https://knigipp.ru/api/getInfo/image/749b5581-59ee-11ed-a220-ac1f6b442185</v>
      </c>
      <c r="AA371" s="33">
        <v>160</v>
      </c>
      <c r="AB371" s="5"/>
      <c r="AC371" s="5" t="s">
        <v>48</v>
      </c>
      <c r="AD371" s="33">
        <v>100</v>
      </c>
      <c r="AE371" s="5" t="s">
        <v>49</v>
      </c>
      <c r="AF371" s="5"/>
      <c r="AG371" s="5"/>
      <c r="AH371" s="5" t="s">
        <v>1550</v>
      </c>
    </row>
    <row r="372" spans="2:34" ht="22.95" customHeight="1" outlineLevel="4" x14ac:dyDescent="0.2">
      <c r="B372" s="75" t="s">
        <v>1559</v>
      </c>
      <c r="C372" s="75"/>
      <c r="D372" s="75"/>
    </row>
    <row r="373" spans="2:34" ht="21" customHeight="1" outlineLevel="5" x14ac:dyDescent="0.2">
      <c r="B373" s="4">
        <v>253</v>
      </c>
      <c r="C373" s="5" t="s">
        <v>1560</v>
      </c>
      <c r="D373" s="5" t="s">
        <v>1561</v>
      </c>
      <c r="E373" s="6" t="s">
        <v>1562</v>
      </c>
      <c r="F373" s="10"/>
      <c r="G373" s="11" t="s">
        <v>1563</v>
      </c>
      <c r="H373" s="12">
        <v>10</v>
      </c>
      <c r="I373" s="13" t="s">
        <v>371</v>
      </c>
      <c r="J373" s="13"/>
      <c r="K373" s="13"/>
      <c r="L373" s="4">
        <v>3</v>
      </c>
      <c r="M373" s="14">
        <f>262.8*(1-P3/100)</f>
        <v>262.8</v>
      </c>
      <c r="N373" s="15"/>
      <c r="O373" s="13">
        <f>M373*N373</f>
        <v>0</v>
      </c>
      <c r="P373" s="13">
        <v>0</v>
      </c>
      <c r="Q373" s="13">
        <v>0</v>
      </c>
      <c r="R373" s="24"/>
      <c r="S373" s="25" t="s">
        <v>1564</v>
      </c>
      <c r="T373" s="25" t="s">
        <v>94</v>
      </c>
      <c r="U373" s="5"/>
      <c r="V373" s="5"/>
      <c r="W373" s="5" t="s">
        <v>46</v>
      </c>
      <c r="X373" s="5"/>
      <c r="Y373" s="5"/>
      <c r="Z373" s="5" t="str">
        <f>HYPERLINK("https://knigipp.ru/api/getInfo/image/9aff46d4-c37d-11eb-a206-ac1f6b442185")</f>
        <v>https://knigipp.ru/api/getInfo/image/9aff46d4-c37d-11eb-a206-ac1f6b442185</v>
      </c>
      <c r="AA373" s="33">
        <v>80</v>
      </c>
      <c r="AB373" s="5"/>
      <c r="AC373" s="5" t="s">
        <v>86</v>
      </c>
      <c r="AD373" s="33">
        <v>160</v>
      </c>
      <c r="AE373" s="5" t="s">
        <v>49</v>
      </c>
      <c r="AF373" s="5"/>
      <c r="AG373" s="5"/>
      <c r="AH373" s="5" t="s">
        <v>1565</v>
      </c>
    </row>
    <row r="374" spans="2:34" ht="21" customHeight="1" outlineLevel="5" x14ac:dyDescent="0.2">
      <c r="B374" s="4">
        <v>254</v>
      </c>
      <c r="C374" s="5" t="s">
        <v>1566</v>
      </c>
      <c r="D374" s="5" t="s">
        <v>1567</v>
      </c>
      <c r="E374" s="6" t="s">
        <v>1568</v>
      </c>
      <c r="F374" s="10"/>
      <c r="G374" s="11" t="s">
        <v>1563</v>
      </c>
      <c r="H374" s="12">
        <v>10</v>
      </c>
      <c r="I374" s="13" t="s">
        <v>261</v>
      </c>
      <c r="J374" s="13"/>
      <c r="K374" s="13"/>
      <c r="L374" s="4">
        <v>3</v>
      </c>
      <c r="M374" s="14">
        <f>262.8*(1-P3/100)</f>
        <v>262.8</v>
      </c>
      <c r="N374" s="15"/>
      <c r="O374" s="13">
        <f>M374*N374</f>
        <v>0</v>
      </c>
      <c r="P374" s="13">
        <v>0</v>
      </c>
      <c r="Q374" s="13">
        <v>0</v>
      </c>
      <c r="R374" s="24"/>
      <c r="S374" s="25" t="s">
        <v>1569</v>
      </c>
      <c r="T374" s="25" t="s">
        <v>94</v>
      </c>
      <c r="U374" s="5"/>
      <c r="V374" s="5"/>
      <c r="W374" s="5" t="s">
        <v>46</v>
      </c>
      <c r="X374" s="5"/>
      <c r="Y374" s="5"/>
      <c r="Z374" s="5" t="str">
        <f>HYPERLINK("https://knigipp.ru/api/getInfo/image/8d21ec93-c37f-11eb-a206-ac1f6b442185")</f>
        <v>https://knigipp.ru/api/getInfo/image/8d21ec93-c37f-11eb-a206-ac1f6b442185</v>
      </c>
      <c r="AA374" s="33">
        <v>80</v>
      </c>
      <c r="AB374" s="5"/>
      <c r="AC374" s="5" t="s">
        <v>86</v>
      </c>
      <c r="AD374" s="33">
        <v>160</v>
      </c>
      <c r="AE374" s="5" t="s">
        <v>49</v>
      </c>
      <c r="AF374" s="5"/>
      <c r="AG374" s="5"/>
      <c r="AH374" s="5" t="s">
        <v>1565</v>
      </c>
    </row>
    <row r="375" spans="2:34" ht="21" customHeight="1" outlineLevel="5" x14ac:dyDescent="0.2">
      <c r="B375" s="4">
        <v>255</v>
      </c>
      <c r="C375" s="5" t="s">
        <v>1570</v>
      </c>
      <c r="D375" s="5" t="s">
        <v>1571</v>
      </c>
      <c r="E375" s="6" t="s">
        <v>1572</v>
      </c>
      <c r="F375" s="10"/>
      <c r="G375" s="11" t="s">
        <v>1563</v>
      </c>
      <c r="H375" s="12">
        <v>10</v>
      </c>
      <c r="I375" s="13" t="s">
        <v>41</v>
      </c>
      <c r="J375" s="13"/>
      <c r="K375" s="13"/>
      <c r="L375" s="4">
        <v>3</v>
      </c>
      <c r="M375" s="14">
        <f>262.8*(1-P3/100)</f>
        <v>262.8</v>
      </c>
      <c r="N375" s="15"/>
      <c r="O375" s="13">
        <f>M375*N375</f>
        <v>0</v>
      </c>
      <c r="P375" s="13">
        <v>0</v>
      </c>
      <c r="Q375" s="13">
        <v>0</v>
      </c>
      <c r="R375" s="24"/>
      <c r="S375" s="25" t="s">
        <v>1573</v>
      </c>
      <c r="T375" s="25" t="s">
        <v>94</v>
      </c>
      <c r="U375" s="5"/>
      <c r="V375" s="5"/>
      <c r="W375" s="5" t="s">
        <v>46</v>
      </c>
      <c r="X375" s="5"/>
      <c r="Y375" s="5"/>
      <c r="Z375" s="5" t="str">
        <f>HYPERLINK("https://knigipp.ru/api/getInfo/image/ea725e26-c37d-11eb-a206-ac1f6b442185")</f>
        <v>https://knigipp.ru/api/getInfo/image/ea725e26-c37d-11eb-a206-ac1f6b442185</v>
      </c>
      <c r="AA375" s="33">
        <v>80</v>
      </c>
      <c r="AB375" s="5"/>
      <c r="AC375" s="5" t="s">
        <v>86</v>
      </c>
      <c r="AD375" s="33">
        <v>160</v>
      </c>
      <c r="AE375" s="5" t="s">
        <v>49</v>
      </c>
      <c r="AF375" s="5"/>
      <c r="AG375" s="5"/>
      <c r="AH375" s="5" t="s">
        <v>1565</v>
      </c>
    </row>
    <row r="376" spans="2:34" ht="22.95" customHeight="1" outlineLevel="4" x14ac:dyDescent="0.2">
      <c r="B376" s="75" t="s">
        <v>1574</v>
      </c>
      <c r="C376" s="75"/>
      <c r="D376" s="75"/>
    </row>
    <row r="377" spans="2:34" ht="21" customHeight="1" outlineLevel="5" x14ac:dyDescent="0.2">
      <c r="B377" s="4">
        <v>256</v>
      </c>
      <c r="C377" s="5" t="s">
        <v>1575</v>
      </c>
      <c r="D377" s="5" t="s">
        <v>1576</v>
      </c>
      <c r="E377" s="6" t="s">
        <v>1577</v>
      </c>
      <c r="F377" s="10"/>
      <c r="G377" s="11" t="s">
        <v>1578</v>
      </c>
      <c r="H377" s="12">
        <v>20</v>
      </c>
      <c r="I377" s="13" t="s">
        <v>371</v>
      </c>
      <c r="J377" s="13"/>
      <c r="K377" s="13"/>
      <c r="L377" s="4">
        <v>5</v>
      </c>
      <c r="M377" s="14">
        <f>134.2*(1-P3/100)</f>
        <v>134.19999999999999</v>
      </c>
      <c r="N377" s="15"/>
      <c r="O377" s="13">
        <f t="shared" ref="O377:O388" si="5">M377*N377</f>
        <v>0</v>
      </c>
      <c r="P377" s="13">
        <v>0</v>
      </c>
      <c r="Q377" s="13">
        <v>0</v>
      </c>
      <c r="R377" s="24"/>
      <c r="S377" s="25" t="s">
        <v>1579</v>
      </c>
      <c r="T377" s="25" t="s">
        <v>94</v>
      </c>
      <c r="U377" s="5"/>
      <c r="V377" s="5"/>
      <c r="W377" s="5" t="s">
        <v>46</v>
      </c>
      <c r="X377" s="5"/>
      <c r="Y377" s="5"/>
      <c r="Z377" s="5" t="str">
        <f>HYPERLINK("https://knigipp.ru/api/getInfo/image/eb351484-1555-11ec-a20f-ac1f6b442185")</f>
        <v>https://knigipp.ru/api/getInfo/image/eb351484-1555-11ec-a20f-ac1f6b442185</v>
      </c>
      <c r="AA377" s="33">
        <v>96</v>
      </c>
      <c r="AB377" s="5"/>
      <c r="AC377" s="5" t="s">
        <v>86</v>
      </c>
      <c r="AD377" s="33">
        <v>70</v>
      </c>
      <c r="AE377" s="5" t="s">
        <v>49</v>
      </c>
      <c r="AF377" s="5"/>
      <c r="AG377" s="5"/>
      <c r="AH377" s="5" t="s">
        <v>1580</v>
      </c>
    </row>
    <row r="378" spans="2:34" ht="21" customHeight="1" outlineLevel="5" x14ac:dyDescent="0.2">
      <c r="B378" s="4">
        <v>257</v>
      </c>
      <c r="C378" s="5" t="s">
        <v>1581</v>
      </c>
      <c r="D378" s="5" t="s">
        <v>1582</v>
      </c>
      <c r="E378" s="6" t="s">
        <v>1583</v>
      </c>
      <c r="F378" s="10"/>
      <c r="G378" s="11" t="s">
        <v>1578</v>
      </c>
      <c r="H378" s="12">
        <v>20</v>
      </c>
      <c r="I378" s="13" t="s">
        <v>41</v>
      </c>
      <c r="J378" s="13"/>
      <c r="K378" s="13"/>
      <c r="L378" s="4">
        <v>5</v>
      </c>
      <c r="M378" s="14">
        <f>134.2*(1-P3/100)</f>
        <v>134.19999999999999</v>
      </c>
      <c r="N378" s="15"/>
      <c r="O378" s="13">
        <f t="shared" si="5"/>
        <v>0</v>
      </c>
      <c r="P378" s="13">
        <v>0</v>
      </c>
      <c r="Q378" s="13">
        <v>0</v>
      </c>
      <c r="R378" s="24"/>
      <c r="S378" s="25" t="s">
        <v>1584</v>
      </c>
      <c r="T378" s="25" t="s">
        <v>94</v>
      </c>
      <c r="U378" s="5"/>
      <c r="V378" s="5"/>
      <c r="W378" s="5" t="s">
        <v>46</v>
      </c>
      <c r="X378" s="5"/>
      <c r="Y378" s="5"/>
      <c r="Z378" s="5" t="str">
        <f>HYPERLINK("https://knigipp.ru/api/getInfo/image/1e56ab50-cba5-11ec-a212-ac1f6b442185")</f>
        <v>https://knigipp.ru/api/getInfo/image/1e56ab50-cba5-11ec-a212-ac1f6b442185</v>
      </c>
      <c r="AA378" s="33">
        <v>96</v>
      </c>
      <c r="AB378" s="5"/>
      <c r="AC378" s="5" t="s">
        <v>86</v>
      </c>
      <c r="AD378" s="33">
        <v>70</v>
      </c>
      <c r="AE378" s="5" t="s">
        <v>49</v>
      </c>
      <c r="AF378" s="5"/>
      <c r="AG378" s="5"/>
      <c r="AH378" s="5" t="s">
        <v>1580</v>
      </c>
    </row>
    <row r="379" spans="2:34" ht="21" customHeight="1" outlineLevel="5" x14ac:dyDescent="0.2">
      <c r="B379" s="4">
        <v>258</v>
      </c>
      <c r="C379" s="5" t="s">
        <v>1585</v>
      </c>
      <c r="D379" s="5" t="s">
        <v>1586</v>
      </c>
      <c r="E379" s="6" t="s">
        <v>1587</v>
      </c>
      <c r="F379" s="10"/>
      <c r="G379" s="11" t="s">
        <v>1588</v>
      </c>
      <c r="H379" s="12">
        <v>20</v>
      </c>
      <c r="I379" s="13" t="s">
        <v>41</v>
      </c>
      <c r="J379" s="13"/>
      <c r="K379" s="13"/>
      <c r="L379" s="4">
        <v>5</v>
      </c>
      <c r="M379" s="14">
        <f>134.2*(1-P3/100)</f>
        <v>134.19999999999999</v>
      </c>
      <c r="N379" s="15"/>
      <c r="O379" s="13">
        <f t="shared" si="5"/>
        <v>0</v>
      </c>
      <c r="P379" s="13">
        <v>0</v>
      </c>
      <c r="Q379" s="13">
        <v>0</v>
      </c>
      <c r="R379" s="24"/>
      <c r="S379" s="25" t="s">
        <v>1589</v>
      </c>
      <c r="T379" s="25" t="s">
        <v>94</v>
      </c>
      <c r="U379" s="5"/>
      <c r="V379" s="5"/>
      <c r="W379" s="5" t="s">
        <v>46</v>
      </c>
      <c r="X379" s="5" t="s">
        <v>1590</v>
      </c>
      <c r="Y379" s="5"/>
      <c r="Z379" s="5" t="str">
        <f>HYPERLINK("https://knigipp.ru/api/getInfo/image/577e6d1f-1a63-11ee-a23b-00155d82e902")</f>
        <v>https://knigipp.ru/api/getInfo/image/577e6d1f-1a63-11ee-a23b-00155d82e902</v>
      </c>
      <c r="AA379" s="33">
        <v>96</v>
      </c>
      <c r="AB379" s="5" t="s">
        <v>598</v>
      </c>
      <c r="AC379" s="5" t="s">
        <v>86</v>
      </c>
      <c r="AD379" s="33">
        <v>70</v>
      </c>
      <c r="AE379" s="5" t="s">
        <v>49</v>
      </c>
      <c r="AF379" s="5"/>
      <c r="AG379" s="5"/>
      <c r="AH379" s="5" t="s">
        <v>1580</v>
      </c>
    </row>
    <row r="380" spans="2:34" ht="21" customHeight="1" outlineLevel="5" x14ac:dyDescent="0.2">
      <c r="B380" s="4">
        <v>259</v>
      </c>
      <c r="C380" s="5" t="s">
        <v>1591</v>
      </c>
      <c r="D380" s="5" t="s">
        <v>1592</v>
      </c>
      <c r="E380" s="6" t="s">
        <v>1593</v>
      </c>
      <c r="F380" s="10"/>
      <c r="G380" s="11" t="s">
        <v>1578</v>
      </c>
      <c r="H380" s="12">
        <v>20</v>
      </c>
      <c r="I380" s="13" t="s">
        <v>41</v>
      </c>
      <c r="J380" s="13"/>
      <c r="K380" s="13"/>
      <c r="L380" s="4">
        <v>5</v>
      </c>
      <c r="M380" s="14">
        <f>134.2*(1-P3/100)</f>
        <v>134.19999999999999</v>
      </c>
      <c r="N380" s="15"/>
      <c r="O380" s="13">
        <f t="shared" si="5"/>
        <v>0</v>
      </c>
      <c r="P380" s="13">
        <v>0</v>
      </c>
      <c r="Q380" s="13">
        <v>0</v>
      </c>
      <c r="R380" s="24"/>
      <c r="S380" s="25" t="s">
        <v>1594</v>
      </c>
      <c r="T380" s="25" t="s">
        <v>94</v>
      </c>
      <c r="U380" s="5"/>
      <c r="V380" s="5"/>
      <c r="W380" s="5" t="s">
        <v>46</v>
      </c>
      <c r="X380" s="5"/>
      <c r="Y380" s="5"/>
      <c r="Z380" s="5" t="str">
        <f>HYPERLINK("https://knigipp.ru/api/getInfo/image/bf9c96b5-1555-11ec-a20f-ac1f6b442185")</f>
        <v>https://knigipp.ru/api/getInfo/image/bf9c96b5-1555-11ec-a20f-ac1f6b442185</v>
      </c>
      <c r="AA380" s="33">
        <v>96</v>
      </c>
      <c r="AB380" s="5"/>
      <c r="AC380" s="5" t="s">
        <v>86</v>
      </c>
      <c r="AD380" s="33">
        <v>70</v>
      </c>
      <c r="AE380" s="5" t="s">
        <v>49</v>
      </c>
      <c r="AF380" s="5"/>
      <c r="AG380" s="5"/>
      <c r="AH380" s="5" t="s">
        <v>1580</v>
      </c>
    </row>
    <row r="381" spans="2:34" ht="21" customHeight="1" outlineLevel="5" x14ac:dyDescent="0.2">
      <c r="B381" s="4">
        <v>260</v>
      </c>
      <c r="C381" s="5" t="s">
        <v>1595</v>
      </c>
      <c r="D381" s="5" t="s">
        <v>1596</v>
      </c>
      <c r="E381" s="6" t="s">
        <v>1597</v>
      </c>
      <c r="F381" s="10"/>
      <c r="G381" s="11" t="s">
        <v>1578</v>
      </c>
      <c r="H381" s="12">
        <v>20</v>
      </c>
      <c r="I381" s="13" t="s">
        <v>41</v>
      </c>
      <c r="J381" s="13"/>
      <c r="K381" s="13"/>
      <c r="L381" s="4">
        <v>5</v>
      </c>
      <c r="M381" s="14">
        <f>134.2*(1-P3/100)</f>
        <v>134.19999999999999</v>
      </c>
      <c r="N381" s="15"/>
      <c r="O381" s="13">
        <f t="shared" si="5"/>
        <v>0</v>
      </c>
      <c r="P381" s="13">
        <v>0</v>
      </c>
      <c r="Q381" s="13">
        <v>0</v>
      </c>
      <c r="R381" s="24"/>
      <c r="S381" s="25" t="s">
        <v>1598</v>
      </c>
      <c r="T381" s="25" t="s">
        <v>94</v>
      </c>
      <c r="U381" s="5"/>
      <c r="V381" s="5" t="s">
        <v>1599</v>
      </c>
      <c r="W381" s="5" t="s">
        <v>46</v>
      </c>
      <c r="X381" s="5" t="s">
        <v>1590</v>
      </c>
      <c r="Y381" s="5"/>
      <c r="Z381" s="5" t="str">
        <f>HYPERLINK("https://knigipp.ru/api/getInfo/image/132eb5d2-27bc-11ee-a23d-00155d82e902")</f>
        <v>https://knigipp.ru/api/getInfo/image/132eb5d2-27bc-11ee-a23d-00155d82e902</v>
      </c>
      <c r="AA381" s="33">
        <v>96</v>
      </c>
      <c r="AB381" s="5" t="s">
        <v>598</v>
      </c>
      <c r="AC381" s="5" t="s">
        <v>86</v>
      </c>
      <c r="AD381" s="33">
        <v>70</v>
      </c>
      <c r="AE381" s="5" t="s">
        <v>49</v>
      </c>
      <c r="AF381" s="5"/>
      <c r="AG381" s="5"/>
      <c r="AH381" s="5" t="s">
        <v>1580</v>
      </c>
    </row>
    <row r="382" spans="2:34" ht="21" customHeight="1" outlineLevel="5" x14ac:dyDescent="0.2">
      <c r="B382" s="4">
        <v>261</v>
      </c>
      <c r="C382" s="5" t="s">
        <v>1600</v>
      </c>
      <c r="D382" s="5" t="s">
        <v>1601</v>
      </c>
      <c r="E382" s="6" t="s">
        <v>1602</v>
      </c>
      <c r="F382" s="10"/>
      <c r="G382" s="11" t="s">
        <v>1578</v>
      </c>
      <c r="H382" s="12">
        <v>20</v>
      </c>
      <c r="I382" s="13" t="s">
        <v>371</v>
      </c>
      <c r="J382" s="13"/>
      <c r="K382" s="13"/>
      <c r="L382" s="4">
        <v>5</v>
      </c>
      <c r="M382" s="14">
        <f>134.2*(1-P3/100)</f>
        <v>134.19999999999999</v>
      </c>
      <c r="N382" s="15"/>
      <c r="O382" s="13">
        <f t="shared" si="5"/>
        <v>0</v>
      </c>
      <c r="P382" s="13">
        <v>0</v>
      </c>
      <c r="Q382" s="13">
        <v>0</v>
      </c>
      <c r="R382" s="24"/>
      <c r="S382" s="25" t="s">
        <v>1603</v>
      </c>
      <c r="T382" s="25" t="s">
        <v>94</v>
      </c>
      <c r="U382" s="5"/>
      <c r="V382" s="5"/>
      <c r="W382" s="5" t="s">
        <v>46</v>
      </c>
      <c r="X382" s="5"/>
      <c r="Y382" s="5"/>
      <c r="Z382" s="5" t="str">
        <f>HYPERLINK("https://knigipp.ru/api/getInfo/image/1df465a9-1557-11ec-a20f-ac1f6b442185")</f>
        <v>https://knigipp.ru/api/getInfo/image/1df465a9-1557-11ec-a20f-ac1f6b442185</v>
      </c>
      <c r="AA382" s="33">
        <v>96</v>
      </c>
      <c r="AB382" s="5"/>
      <c r="AC382" s="5" t="s">
        <v>86</v>
      </c>
      <c r="AD382" s="33">
        <v>70</v>
      </c>
      <c r="AE382" s="5" t="s">
        <v>49</v>
      </c>
      <c r="AF382" s="5"/>
      <c r="AG382" s="5"/>
      <c r="AH382" s="5" t="s">
        <v>1580</v>
      </c>
    </row>
    <row r="383" spans="2:34" ht="21" customHeight="1" outlineLevel="5" x14ac:dyDescent="0.2">
      <c r="B383" s="4">
        <v>262</v>
      </c>
      <c r="C383" s="5" t="s">
        <v>1604</v>
      </c>
      <c r="D383" s="5" t="s">
        <v>1605</v>
      </c>
      <c r="E383" s="6" t="s">
        <v>1606</v>
      </c>
      <c r="F383" s="10"/>
      <c r="G383" s="11" t="s">
        <v>1578</v>
      </c>
      <c r="H383" s="12">
        <v>20</v>
      </c>
      <c r="I383" s="13" t="s">
        <v>41</v>
      </c>
      <c r="J383" s="13"/>
      <c r="K383" s="13"/>
      <c r="L383" s="4">
        <v>5</v>
      </c>
      <c r="M383" s="14">
        <f>134.2*(1-P3/100)</f>
        <v>134.19999999999999</v>
      </c>
      <c r="N383" s="15"/>
      <c r="O383" s="13">
        <f t="shared" si="5"/>
        <v>0</v>
      </c>
      <c r="P383" s="13">
        <v>0</v>
      </c>
      <c r="Q383" s="13">
        <v>0</v>
      </c>
      <c r="R383" s="24"/>
      <c r="S383" s="25" t="s">
        <v>1607</v>
      </c>
      <c r="T383" s="25" t="s">
        <v>94</v>
      </c>
      <c r="U383" s="5"/>
      <c r="V383" s="5"/>
      <c r="W383" s="5" t="s">
        <v>46</v>
      </c>
      <c r="X383" s="5" t="s">
        <v>1590</v>
      </c>
      <c r="Y383" s="5"/>
      <c r="Z383" s="5" t="str">
        <f>HYPERLINK("https://knigipp.ru/api/getInfo/image/57c65851-27bc-11ee-a23d-00155d82e902")</f>
        <v>https://knigipp.ru/api/getInfo/image/57c65851-27bc-11ee-a23d-00155d82e902</v>
      </c>
      <c r="AA383" s="33">
        <v>96</v>
      </c>
      <c r="AB383" s="5" t="s">
        <v>598</v>
      </c>
      <c r="AC383" s="5" t="s">
        <v>86</v>
      </c>
      <c r="AD383" s="33">
        <v>70</v>
      </c>
      <c r="AE383" s="5" t="s">
        <v>49</v>
      </c>
      <c r="AF383" s="5"/>
      <c r="AG383" s="5"/>
      <c r="AH383" s="5" t="s">
        <v>1580</v>
      </c>
    </row>
    <row r="384" spans="2:34" ht="21" customHeight="1" outlineLevel="5" x14ac:dyDescent="0.2">
      <c r="B384" s="4">
        <v>263</v>
      </c>
      <c r="C384" s="5" t="s">
        <v>1608</v>
      </c>
      <c r="D384" s="5" t="s">
        <v>1609</v>
      </c>
      <c r="E384" s="6" t="s">
        <v>1610</v>
      </c>
      <c r="F384" s="10"/>
      <c r="G384" s="11" t="s">
        <v>1578</v>
      </c>
      <c r="H384" s="12">
        <v>20</v>
      </c>
      <c r="I384" s="13" t="s">
        <v>371</v>
      </c>
      <c r="J384" s="13"/>
      <c r="K384" s="13"/>
      <c r="L384" s="4">
        <v>5</v>
      </c>
      <c r="M384" s="14">
        <f>134.2*(1-P3/100)</f>
        <v>134.19999999999999</v>
      </c>
      <c r="N384" s="15"/>
      <c r="O384" s="13">
        <f t="shared" si="5"/>
        <v>0</v>
      </c>
      <c r="P384" s="22">
        <f>0.095*N384</f>
        <v>0</v>
      </c>
      <c r="Q384" s="13">
        <v>0</v>
      </c>
      <c r="R384" s="24"/>
      <c r="S384" s="25" t="s">
        <v>1611</v>
      </c>
      <c r="T384" s="25" t="s">
        <v>94</v>
      </c>
      <c r="U384" s="5"/>
      <c r="V384" s="5"/>
      <c r="W384" s="5" t="s">
        <v>46</v>
      </c>
      <c r="X384" s="5"/>
      <c r="Y384" s="5"/>
      <c r="Z384" s="5" t="str">
        <f>HYPERLINK("https://knigipp.ru/api/getInfo/image/4362f1f9-1556-11ec-a20f-ac1f6b442185")</f>
        <v>https://knigipp.ru/api/getInfo/image/4362f1f9-1556-11ec-a20f-ac1f6b442185</v>
      </c>
      <c r="AA384" s="33">
        <v>96</v>
      </c>
      <c r="AB384" s="5"/>
      <c r="AC384" s="5" t="s">
        <v>86</v>
      </c>
      <c r="AD384" s="33">
        <v>70</v>
      </c>
      <c r="AE384" s="5" t="s">
        <v>49</v>
      </c>
      <c r="AF384" s="5"/>
      <c r="AG384" s="5"/>
      <c r="AH384" s="5" t="s">
        <v>1580</v>
      </c>
    </row>
    <row r="385" spans="2:34" ht="21" customHeight="1" outlineLevel="5" x14ac:dyDescent="0.2">
      <c r="B385" s="4">
        <v>264</v>
      </c>
      <c r="C385" s="5" t="s">
        <v>1612</v>
      </c>
      <c r="D385" s="5" t="s">
        <v>1613</v>
      </c>
      <c r="E385" s="6" t="s">
        <v>1614</v>
      </c>
      <c r="F385" s="10"/>
      <c r="G385" s="11" t="s">
        <v>1588</v>
      </c>
      <c r="H385" s="12">
        <v>20</v>
      </c>
      <c r="I385" s="13" t="s">
        <v>41</v>
      </c>
      <c r="J385" s="13"/>
      <c r="K385" s="13"/>
      <c r="L385" s="4">
        <v>5</v>
      </c>
      <c r="M385" s="14">
        <f>134.2*(1-P3/100)</f>
        <v>134.19999999999999</v>
      </c>
      <c r="N385" s="15"/>
      <c r="O385" s="13">
        <f t="shared" si="5"/>
        <v>0</v>
      </c>
      <c r="P385" s="13">
        <v>0</v>
      </c>
      <c r="Q385" s="13">
        <v>0</v>
      </c>
      <c r="R385" s="24"/>
      <c r="S385" s="25" t="s">
        <v>1615</v>
      </c>
      <c r="T385" s="25" t="s">
        <v>94</v>
      </c>
      <c r="U385" s="5"/>
      <c r="V385" s="5"/>
      <c r="W385" s="5" t="s">
        <v>46</v>
      </c>
      <c r="X385" s="5" t="s">
        <v>1590</v>
      </c>
      <c r="Y385" s="5"/>
      <c r="Z385" s="5" t="str">
        <f>HYPERLINK("https://knigipp.ru/api/getInfo/image/8008ebc5-1a63-11ee-a23b-00155d82e902")</f>
        <v>https://knigipp.ru/api/getInfo/image/8008ebc5-1a63-11ee-a23b-00155d82e902</v>
      </c>
      <c r="AA385" s="33">
        <v>96</v>
      </c>
      <c r="AB385" s="5" t="s">
        <v>598</v>
      </c>
      <c r="AC385" s="5" t="s">
        <v>86</v>
      </c>
      <c r="AD385" s="33">
        <v>70</v>
      </c>
      <c r="AE385" s="5" t="s">
        <v>49</v>
      </c>
      <c r="AF385" s="5"/>
      <c r="AG385" s="5"/>
      <c r="AH385" s="5" t="s">
        <v>1580</v>
      </c>
    </row>
    <row r="386" spans="2:34" ht="21" customHeight="1" outlineLevel="5" x14ac:dyDescent="0.2">
      <c r="B386" s="4">
        <v>265</v>
      </c>
      <c r="C386" s="5" t="s">
        <v>1616</v>
      </c>
      <c r="D386" s="5" t="s">
        <v>1617</v>
      </c>
      <c r="E386" s="6" t="s">
        <v>1618</v>
      </c>
      <c r="F386" s="10"/>
      <c r="G386" s="11" t="s">
        <v>1578</v>
      </c>
      <c r="H386" s="12">
        <v>20</v>
      </c>
      <c r="I386" s="13" t="s">
        <v>41</v>
      </c>
      <c r="J386" s="13"/>
      <c r="K386" s="13"/>
      <c r="L386" s="4">
        <v>5</v>
      </c>
      <c r="M386" s="14">
        <f>134.2*(1-P3/100)</f>
        <v>134.19999999999999</v>
      </c>
      <c r="N386" s="15"/>
      <c r="O386" s="13">
        <f t="shared" si="5"/>
        <v>0</v>
      </c>
      <c r="P386" s="22">
        <f>0.095*N386</f>
        <v>0</v>
      </c>
      <c r="Q386" s="23">
        <f>0.00017*N386</f>
        <v>0</v>
      </c>
      <c r="R386" s="24"/>
      <c r="S386" s="25" t="s">
        <v>1619</v>
      </c>
      <c r="T386" s="25" t="s">
        <v>94</v>
      </c>
      <c r="U386" s="5"/>
      <c r="V386" s="5"/>
      <c r="W386" s="5" t="s">
        <v>46</v>
      </c>
      <c r="X386" s="5"/>
      <c r="Y386" s="5"/>
      <c r="Z386" s="5" t="str">
        <f>HYPERLINK("https://knigipp.ru/api/getInfo/image/6b381f69-177c-11eb-a25d-ac1f6b442184")</f>
        <v>https://knigipp.ru/api/getInfo/image/6b381f69-177c-11eb-a25d-ac1f6b442184</v>
      </c>
      <c r="AA386" s="33">
        <v>96</v>
      </c>
      <c r="AB386" s="5"/>
      <c r="AC386" s="5" t="s">
        <v>86</v>
      </c>
      <c r="AD386" s="33">
        <v>70</v>
      </c>
      <c r="AE386" s="5" t="s">
        <v>49</v>
      </c>
      <c r="AF386" s="5"/>
      <c r="AG386" s="5"/>
      <c r="AH386" s="5" t="s">
        <v>1580</v>
      </c>
    </row>
    <row r="387" spans="2:34" ht="21" customHeight="1" outlineLevel="5" x14ac:dyDescent="0.2">
      <c r="B387" s="4">
        <v>266</v>
      </c>
      <c r="C387" s="5" t="s">
        <v>1620</v>
      </c>
      <c r="D387" s="5" t="s">
        <v>1621</v>
      </c>
      <c r="E387" s="6" t="s">
        <v>1622</v>
      </c>
      <c r="F387" s="10"/>
      <c r="G387" s="11" t="s">
        <v>1578</v>
      </c>
      <c r="H387" s="12">
        <v>20</v>
      </c>
      <c r="I387" s="13" t="s">
        <v>371</v>
      </c>
      <c r="J387" s="13"/>
      <c r="K387" s="13"/>
      <c r="L387" s="4">
        <v>5</v>
      </c>
      <c r="M387" s="14">
        <f>134.2*(1-P3/100)</f>
        <v>134.19999999999999</v>
      </c>
      <c r="N387" s="15"/>
      <c r="O387" s="13">
        <f t="shared" si="5"/>
        <v>0</v>
      </c>
      <c r="P387" s="13">
        <v>0</v>
      </c>
      <c r="Q387" s="13">
        <v>0</v>
      </c>
      <c r="R387" s="24"/>
      <c r="S387" s="25" t="s">
        <v>1623</v>
      </c>
      <c r="T387" s="25" t="s">
        <v>94</v>
      </c>
      <c r="U387" s="5"/>
      <c r="V387" s="5" t="s">
        <v>1624</v>
      </c>
      <c r="W387" s="5" t="s">
        <v>46</v>
      </c>
      <c r="X387" s="5"/>
      <c r="Y387" s="5"/>
      <c r="Z387" s="5" t="str">
        <f>HYPERLINK("https://knigipp.ru/api/getInfo/image/f26c8766-1556-11ec-a20f-ac1f6b442185")</f>
        <v>https://knigipp.ru/api/getInfo/image/f26c8766-1556-11ec-a20f-ac1f6b442185</v>
      </c>
      <c r="AA387" s="33">
        <v>96</v>
      </c>
      <c r="AB387" s="5"/>
      <c r="AC387" s="5" t="s">
        <v>86</v>
      </c>
      <c r="AD387" s="33">
        <v>70</v>
      </c>
      <c r="AE387" s="5" t="s">
        <v>49</v>
      </c>
      <c r="AF387" s="5"/>
      <c r="AG387" s="5"/>
      <c r="AH387" s="5" t="s">
        <v>1580</v>
      </c>
    </row>
    <row r="388" spans="2:34" ht="21" customHeight="1" outlineLevel="5" x14ac:dyDescent="0.2">
      <c r="B388" s="4">
        <v>267</v>
      </c>
      <c r="C388" s="5" t="s">
        <v>1625</v>
      </c>
      <c r="D388" s="5" t="s">
        <v>1626</v>
      </c>
      <c r="E388" s="6" t="s">
        <v>1627</v>
      </c>
      <c r="F388" s="10"/>
      <c r="G388" s="11" t="s">
        <v>1578</v>
      </c>
      <c r="H388" s="12">
        <v>20</v>
      </c>
      <c r="I388" s="13" t="s">
        <v>41</v>
      </c>
      <c r="J388" s="13"/>
      <c r="K388" s="13"/>
      <c r="L388" s="4">
        <v>5</v>
      </c>
      <c r="M388" s="14">
        <f>134.2*(1-P3/100)</f>
        <v>134.19999999999999</v>
      </c>
      <c r="N388" s="15"/>
      <c r="O388" s="13">
        <f t="shared" si="5"/>
        <v>0</v>
      </c>
      <c r="P388" s="22">
        <f>0.137*N388</f>
        <v>0</v>
      </c>
      <c r="Q388" s="23">
        <f>0.00042*N388</f>
        <v>0</v>
      </c>
      <c r="R388" s="24"/>
      <c r="S388" s="25" t="s">
        <v>1628</v>
      </c>
      <c r="T388" s="25" t="s">
        <v>94</v>
      </c>
      <c r="U388" s="5"/>
      <c r="V388" s="5"/>
      <c r="W388" s="5" t="s">
        <v>46</v>
      </c>
      <c r="X388" s="5"/>
      <c r="Y388" s="5"/>
      <c r="Z388" s="5" t="str">
        <f>HYPERLINK("https://knigipp.ru/api/getInfo/image/63ad03ed-9942-11ec-a211-ac1f6b442185")</f>
        <v>https://knigipp.ru/api/getInfo/image/63ad03ed-9942-11ec-a211-ac1f6b442185</v>
      </c>
      <c r="AA388" s="33">
        <v>96</v>
      </c>
      <c r="AB388" s="5"/>
      <c r="AC388" s="5" t="s">
        <v>86</v>
      </c>
      <c r="AD388" s="33">
        <v>70</v>
      </c>
      <c r="AE388" s="5" t="s">
        <v>49</v>
      </c>
      <c r="AF388" s="5"/>
      <c r="AG388" s="5"/>
      <c r="AH388" s="5" t="s">
        <v>1580</v>
      </c>
    </row>
    <row r="389" spans="2:34" ht="22.95" customHeight="1" outlineLevel="4" x14ac:dyDescent="0.2">
      <c r="B389" s="75" t="s">
        <v>1629</v>
      </c>
      <c r="C389" s="75"/>
      <c r="D389" s="75"/>
    </row>
    <row r="390" spans="2:34" ht="21" customHeight="1" outlineLevel="5" x14ac:dyDescent="0.2">
      <c r="B390" s="4">
        <v>268</v>
      </c>
      <c r="C390" s="5" t="s">
        <v>1630</v>
      </c>
      <c r="D390" s="5" t="s">
        <v>1631</v>
      </c>
      <c r="E390" s="6" t="s">
        <v>1632</v>
      </c>
      <c r="F390" s="10"/>
      <c r="G390" s="11" t="s">
        <v>1633</v>
      </c>
      <c r="H390" s="12">
        <v>10</v>
      </c>
      <c r="I390" s="13" t="s">
        <v>371</v>
      </c>
      <c r="J390" s="13"/>
      <c r="K390" s="13"/>
      <c r="L390" s="4">
        <v>3</v>
      </c>
      <c r="M390" s="14">
        <f>262.8*(1-P3/100)</f>
        <v>262.8</v>
      </c>
      <c r="N390" s="15"/>
      <c r="O390" s="13">
        <f>M390*N390</f>
        <v>0</v>
      </c>
      <c r="P390" s="22">
        <f>0.374*N390</f>
        <v>0</v>
      </c>
      <c r="Q390" s="23">
        <f>0.00063*N390</f>
        <v>0</v>
      </c>
      <c r="R390" s="24"/>
      <c r="S390" s="25" t="s">
        <v>1634</v>
      </c>
      <c r="T390" s="25" t="s">
        <v>94</v>
      </c>
      <c r="U390" s="5"/>
      <c r="V390" s="5"/>
      <c r="W390" s="5" t="s">
        <v>46</v>
      </c>
      <c r="X390" s="5"/>
      <c r="Y390" s="5"/>
      <c r="Z390" s="5" t="str">
        <f>HYPERLINK("https://knigipp.ru/api/getInfo/image/45df573b-b1b6-11ec-a211-ac1f6b442185")</f>
        <v>https://knigipp.ru/api/getInfo/image/45df573b-b1b6-11ec-a211-ac1f6b442185</v>
      </c>
      <c r="AA390" s="33">
        <v>80</v>
      </c>
      <c r="AB390" s="5"/>
      <c r="AC390" s="5" t="s">
        <v>86</v>
      </c>
      <c r="AD390" s="33">
        <v>160</v>
      </c>
      <c r="AE390" s="5" t="s">
        <v>49</v>
      </c>
      <c r="AF390" s="5"/>
      <c r="AG390" s="5"/>
      <c r="AH390" s="5" t="s">
        <v>1635</v>
      </c>
    </row>
    <row r="391" spans="2:34" ht="21" customHeight="1" outlineLevel="5" x14ac:dyDescent="0.2">
      <c r="B391" s="4">
        <v>269</v>
      </c>
      <c r="C391" s="5" t="s">
        <v>1636</v>
      </c>
      <c r="D391" s="5" t="s">
        <v>1637</v>
      </c>
      <c r="E391" s="6" t="s">
        <v>1638</v>
      </c>
      <c r="F391" s="10"/>
      <c r="G391" s="11" t="s">
        <v>1633</v>
      </c>
      <c r="H391" s="12">
        <v>10</v>
      </c>
      <c r="I391" s="13" t="s">
        <v>261</v>
      </c>
      <c r="J391" s="13"/>
      <c r="K391" s="13"/>
      <c r="L391" s="4">
        <v>3</v>
      </c>
      <c r="M391" s="14">
        <f>262.8*(1-P3/100)</f>
        <v>262.8</v>
      </c>
      <c r="N391" s="15"/>
      <c r="O391" s="13">
        <f>M391*N391</f>
        <v>0</v>
      </c>
      <c r="P391" s="32">
        <f>0.38*N391</f>
        <v>0</v>
      </c>
      <c r="Q391" s="23">
        <f>0.00059*N391</f>
        <v>0</v>
      </c>
      <c r="R391" s="24"/>
      <c r="S391" s="25" t="s">
        <v>1639</v>
      </c>
      <c r="T391" s="25" t="s">
        <v>94</v>
      </c>
      <c r="U391" s="5"/>
      <c r="V391" s="5"/>
      <c r="W391" s="5" t="s">
        <v>46</v>
      </c>
      <c r="X391" s="5"/>
      <c r="Y391" s="5"/>
      <c r="Z391" s="5" t="str">
        <f>HYPERLINK("https://knigipp.ru/api/getInfo/image/be97a72f-b1b6-11ec-a211-ac1f6b442185")</f>
        <v>https://knigipp.ru/api/getInfo/image/be97a72f-b1b6-11ec-a211-ac1f6b442185</v>
      </c>
      <c r="AA391" s="33">
        <v>80</v>
      </c>
      <c r="AB391" s="5"/>
      <c r="AC391" s="5" t="s">
        <v>86</v>
      </c>
      <c r="AD391" s="33">
        <v>160</v>
      </c>
      <c r="AE391" s="5" t="s">
        <v>49</v>
      </c>
      <c r="AF391" s="5"/>
      <c r="AG391" s="5"/>
      <c r="AH391" s="5" t="s">
        <v>1635</v>
      </c>
    </row>
    <row r="392" spans="2:34" ht="22.95" customHeight="1" outlineLevel="4" x14ac:dyDescent="0.2">
      <c r="B392" s="75" t="s">
        <v>1640</v>
      </c>
      <c r="C392" s="75"/>
      <c r="D392" s="75"/>
    </row>
    <row r="393" spans="2:34" ht="21" customHeight="1" outlineLevel="5" x14ac:dyDescent="0.2">
      <c r="B393" s="4">
        <v>270</v>
      </c>
      <c r="C393" s="5" t="s">
        <v>1641</v>
      </c>
      <c r="D393" s="5" t="s">
        <v>1642</v>
      </c>
      <c r="E393" s="6" t="s">
        <v>1643</v>
      </c>
      <c r="F393" s="10"/>
      <c r="G393" s="11" t="s">
        <v>1644</v>
      </c>
      <c r="H393" s="12">
        <v>20</v>
      </c>
      <c r="I393" s="13" t="s">
        <v>371</v>
      </c>
      <c r="J393" s="13"/>
      <c r="K393" s="13"/>
      <c r="L393" s="4">
        <v>3</v>
      </c>
      <c r="M393" s="14">
        <f>247*(1-P3/100)</f>
        <v>247</v>
      </c>
      <c r="N393" s="15"/>
      <c r="O393" s="13">
        <f>M393*N393</f>
        <v>0</v>
      </c>
      <c r="P393" s="13">
        <v>0</v>
      </c>
      <c r="Q393" s="13">
        <v>0</v>
      </c>
      <c r="R393" s="24"/>
      <c r="S393" s="25" t="s">
        <v>1645</v>
      </c>
      <c r="T393" s="25" t="s">
        <v>94</v>
      </c>
      <c r="U393" s="5"/>
      <c r="V393" s="5" t="s">
        <v>1646</v>
      </c>
      <c r="W393" s="5" t="s">
        <v>46</v>
      </c>
      <c r="X393" s="5"/>
      <c r="Y393" s="5"/>
      <c r="Z393" s="5" t="str">
        <f>HYPERLINK("https://knigipp.ru/api/getInfo/image/af67eae4-c1c5-11ee-a25a-00155d82e908")</f>
        <v>https://knigipp.ru/api/getInfo/image/af67eae4-c1c5-11ee-a25a-00155d82e908</v>
      </c>
      <c r="AA393" s="33">
        <v>128</v>
      </c>
      <c r="AB393" s="5" t="s">
        <v>574</v>
      </c>
      <c r="AC393" s="5" t="s">
        <v>86</v>
      </c>
      <c r="AD393" s="5"/>
      <c r="AE393" s="5" t="s">
        <v>49</v>
      </c>
      <c r="AF393" s="5"/>
      <c r="AG393" s="5"/>
      <c r="AH393" s="5" t="s">
        <v>1647</v>
      </c>
    </row>
    <row r="394" spans="2:34" ht="21" customHeight="1" outlineLevel="5" x14ac:dyDescent="0.2">
      <c r="B394" s="4">
        <v>271</v>
      </c>
      <c r="C394" s="5" t="s">
        <v>1648</v>
      </c>
      <c r="D394" s="5" t="s">
        <v>1649</v>
      </c>
      <c r="E394" s="6" t="s">
        <v>1650</v>
      </c>
      <c r="F394" s="10"/>
      <c r="G394" s="11" t="s">
        <v>1644</v>
      </c>
      <c r="H394" s="12">
        <v>20</v>
      </c>
      <c r="I394" s="13" t="s">
        <v>41</v>
      </c>
      <c r="J394" s="13"/>
      <c r="K394" s="13"/>
      <c r="L394" s="4">
        <v>3</v>
      </c>
      <c r="M394" s="14">
        <f>247*(1-P3/100)</f>
        <v>247</v>
      </c>
      <c r="N394" s="15"/>
      <c r="O394" s="13">
        <f>M394*N394</f>
        <v>0</v>
      </c>
      <c r="P394" s="13">
        <v>0</v>
      </c>
      <c r="Q394" s="13">
        <v>0</v>
      </c>
      <c r="R394" s="24"/>
      <c r="S394" s="25" t="s">
        <v>1651</v>
      </c>
      <c r="T394" s="25" t="s">
        <v>94</v>
      </c>
      <c r="U394" s="5"/>
      <c r="V394" s="5" t="s">
        <v>1652</v>
      </c>
      <c r="W394" s="5" t="s">
        <v>46</v>
      </c>
      <c r="X394" s="5" t="s">
        <v>1653</v>
      </c>
      <c r="Y394" s="5"/>
      <c r="Z394" s="5" t="str">
        <f>HYPERLINK("https://knigipp.ru/api/getInfo/image/42945fb8-c1c5-11ee-a25a-00155d82e908")</f>
        <v>https://knigipp.ru/api/getInfo/image/42945fb8-c1c5-11ee-a25a-00155d82e908</v>
      </c>
      <c r="AA394" s="33">
        <v>128</v>
      </c>
      <c r="AB394" s="5" t="s">
        <v>574</v>
      </c>
      <c r="AC394" s="5" t="s">
        <v>86</v>
      </c>
      <c r="AD394" s="5"/>
      <c r="AE394" s="5" t="s">
        <v>49</v>
      </c>
      <c r="AF394" s="5"/>
      <c r="AG394" s="5"/>
      <c r="AH394" s="5" t="s">
        <v>1647</v>
      </c>
    </row>
    <row r="395" spans="2:34" ht="21" customHeight="1" outlineLevel="5" x14ac:dyDescent="0.2">
      <c r="B395" s="4">
        <v>272</v>
      </c>
      <c r="C395" s="5" t="s">
        <v>1654</v>
      </c>
      <c r="D395" s="5" t="s">
        <v>1655</v>
      </c>
      <c r="E395" s="6" t="s">
        <v>1656</v>
      </c>
      <c r="F395" s="10"/>
      <c r="G395" s="11" t="s">
        <v>1644</v>
      </c>
      <c r="H395" s="12">
        <v>20</v>
      </c>
      <c r="I395" s="13" t="s">
        <v>41</v>
      </c>
      <c r="J395" s="13"/>
      <c r="K395" s="13"/>
      <c r="L395" s="4">
        <v>3</v>
      </c>
      <c r="M395" s="14">
        <f>247*(1-P3/100)</f>
        <v>247</v>
      </c>
      <c r="N395" s="15"/>
      <c r="O395" s="13">
        <f>M395*N395</f>
        <v>0</v>
      </c>
      <c r="P395" s="13">
        <v>0</v>
      </c>
      <c r="Q395" s="13">
        <v>0</v>
      </c>
      <c r="R395" s="24"/>
      <c r="S395" s="25" t="s">
        <v>1657</v>
      </c>
      <c r="T395" s="25" t="s">
        <v>94</v>
      </c>
      <c r="U395" s="5"/>
      <c r="V395" s="5" t="s">
        <v>1658</v>
      </c>
      <c r="W395" s="5" t="s">
        <v>46</v>
      </c>
      <c r="X395" s="5"/>
      <c r="Y395" s="5"/>
      <c r="Z395" s="5" t="str">
        <f>HYPERLINK("https://knigipp.ru/api/getInfo/image/6a949540-c1c5-11ee-a25a-00155d82e908")</f>
        <v>https://knigipp.ru/api/getInfo/image/6a949540-c1c5-11ee-a25a-00155d82e908</v>
      </c>
      <c r="AA395" s="33">
        <v>128</v>
      </c>
      <c r="AB395" s="5" t="s">
        <v>574</v>
      </c>
      <c r="AC395" s="5" t="s">
        <v>86</v>
      </c>
      <c r="AD395" s="5"/>
      <c r="AE395" s="5" t="s">
        <v>49</v>
      </c>
      <c r="AF395" s="5"/>
      <c r="AG395" s="5"/>
      <c r="AH395" s="5" t="s">
        <v>1647</v>
      </c>
    </row>
    <row r="396" spans="2:34" ht="22.95" customHeight="1" outlineLevel="4" x14ac:dyDescent="0.2">
      <c r="B396" s="75" t="s">
        <v>1659</v>
      </c>
      <c r="C396" s="75"/>
      <c r="D396" s="75"/>
    </row>
    <row r="397" spans="2:34" ht="21" customHeight="1" outlineLevel="5" x14ac:dyDescent="0.2">
      <c r="B397" s="4">
        <v>273</v>
      </c>
      <c r="C397" s="5" t="s">
        <v>1660</v>
      </c>
      <c r="D397" s="5" t="s">
        <v>1661</v>
      </c>
      <c r="E397" s="6" t="s">
        <v>1662</v>
      </c>
      <c r="F397" s="10"/>
      <c r="G397" s="11" t="s">
        <v>1663</v>
      </c>
      <c r="H397" s="12">
        <v>10</v>
      </c>
      <c r="I397" s="13" t="s">
        <v>41</v>
      </c>
      <c r="J397" s="13"/>
      <c r="K397" s="13"/>
      <c r="L397" s="4">
        <v>3</v>
      </c>
      <c r="M397" s="14">
        <f>199*(1-P3/100)</f>
        <v>199</v>
      </c>
      <c r="N397" s="15"/>
      <c r="O397" s="13">
        <f>M397*N397</f>
        <v>0</v>
      </c>
      <c r="P397" s="22">
        <f>0.237*N397</f>
        <v>0</v>
      </c>
      <c r="Q397" s="30">
        <f>0.0003*N397</f>
        <v>0</v>
      </c>
      <c r="R397" s="24"/>
      <c r="S397" s="25" t="s">
        <v>1664</v>
      </c>
      <c r="T397" s="25" t="s">
        <v>94</v>
      </c>
      <c r="U397" s="5"/>
      <c r="V397" s="5" t="s">
        <v>1665</v>
      </c>
      <c r="W397" s="5" t="s">
        <v>46</v>
      </c>
      <c r="X397" s="5"/>
      <c r="Y397" s="5"/>
      <c r="Z397" s="5" t="str">
        <f>HYPERLINK("https://knigipp.ru/api/getInfo/image/8268c9b7-e8b7-11ed-a233-00155d82e902")</f>
        <v>https://knigipp.ru/api/getInfo/image/8268c9b7-e8b7-11ed-a233-00155d82e902</v>
      </c>
      <c r="AA397" s="33">
        <v>128</v>
      </c>
      <c r="AB397" s="5" t="s">
        <v>598</v>
      </c>
      <c r="AC397" s="5" t="s">
        <v>86</v>
      </c>
      <c r="AD397" s="5"/>
      <c r="AE397" s="5" t="s">
        <v>49</v>
      </c>
      <c r="AF397" s="5"/>
      <c r="AG397" s="5"/>
      <c r="AH397" s="5" t="s">
        <v>1666</v>
      </c>
    </row>
    <row r="398" spans="2:34" ht="21" customHeight="1" outlineLevel="5" x14ac:dyDescent="0.2">
      <c r="B398" s="4">
        <v>274</v>
      </c>
      <c r="C398" s="5" t="s">
        <v>1667</v>
      </c>
      <c r="D398" s="5" t="s">
        <v>1668</v>
      </c>
      <c r="E398" s="6" t="s">
        <v>1669</v>
      </c>
      <c r="F398" s="10"/>
      <c r="G398" s="11" t="s">
        <v>1663</v>
      </c>
      <c r="H398" s="12">
        <v>10</v>
      </c>
      <c r="I398" s="13" t="s">
        <v>41</v>
      </c>
      <c r="J398" s="13"/>
      <c r="K398" s="13"/>
      <c r="L398" s="4">
        <v>3</v>
      </c>
      <c r="M398" s="14">
        <f>199*(1-P3/100)</f>
        <v>199</v>
      </c>
      <c r="N398" s="15"/>
      <c r="O398" s="13">
        <f>M398*N398</f>
        <v>0</v>
      </c>
      <c r="P398" s="22">
        <f>0.239*N398</f>
        <v>0</v>
      </c>
      <c r="Q398" s="23">
        <f>0.00035*N398</f>
        <v>0</v>
      </c>
      <c r="R398" s="24"/>
      <c r="S398" s="25" t="s">
        <v>1670</v>
      </c>
      <c r="T398" s="25" t="s">
        <v>94</v>
      </c>
      <c r="U398" s="5"/>
      <c r="V398" s="5"/>
      <c r="W398" s="5" t="s">
        <v>46</v>
      </c>
      <c r="X398" s="5"/>
      <c r="Y398" s="5"/>
      <c r="Z398" s="5" t="str">
        <f>HYPERLINK("https://knigipp.ru/api/getInfo/image/83b93d08-454a-11ed-a216-ac1f6b442185")</f>
        <v>https://knigipp.ru/api/getInfo/image/83b93d08-454a-11ed-a216-ac1f6b442185</v>
      </c>
      <c r="AA398" s="33">
        <v>128</v>
      </c>
      <c r="AB398" s="5" t="s">
        <v>598</v>
      </c>
      <c r="AC398" s="5" t="s">
        <v>86</v>
      </c>
      <c r="AD398" s="5"/>
      <c r="AE398" s="5" t="s">
        <v>49</v>
      </c>
      <c r="AF398" s="5"/>
      <c r="AG398" s="5"/>
      <c r="AH398" s="5" t="s">
        <v>1543</v>
      </c>
    </row>
    <row r="399" spans="2:34" ht="21" customHeight="1" outlineLevel="5" x14ac:dyDescent="0.2">
      <c r="B399" s="4">
        <v>275</v>
      </c>
      <c r="C399" s="5" t="s">
        <v>1671</v>
      </c>
      <c r="D399" s="5" t="s">
        <v>1672</v>
      </c>
      <c r="E399" s="6" t="s">
        <v>1673</v>
      </c>
      <c r="F399" s="10"/>
      <c r="G399" s="11" t="s">
        <v>1663</v>
      </c>
      <c r="H399" s="12">
        <v>10</v>
      </c>
      <c r="I399" s="13" t="s">
        <v>41</v>
      </c>
      <c r="J399" s="13"/>
      <c r="K399" s="13"/>
      <c r="L399" s="4">
        <v>3</v>
      </c>
      <c r="M399" s="14">
        <f>199*(1-P3/100)</f>
        <v>199</v>
      </c>
      <c r="N399" s="15"/>
      <c r="O399" s="13">
        <f>M399*N399</f>
        <v>0</v>
      </c>
      <c r="P399" s="13">
        <v>0</v>
      </c>
      <c r="Q399" s="13">
        <v>0</v>
      </c>
      <c r="R399" s="24"/>
      <c r="S399" s="25" t="s">
        <v>1674</v>
      </c>
      <c r="T399" s="25" t="s">
        <v>94</v>
      </c>
      <c r="U399" s="5"/>
      <c r="V399" s="5" t="s">
        <v>1675</v>
      </c>
      <c r="W399" s="5" t="s">
        <v>46</v>
      </c>
      <c r="X399" s="5"/>
      <c r="Y399" s="5"/>
      <c r="Z399" s="5" t="str">
        <f>HYPERLINK("https://knigipp.ru/api/getInfo/image/e7ba83b2-e8b7-11ed-a233-00155d82e902")</f>
        <v>https://knigipp.ru/api/getInfo/image/e7ba83b2-e8b7-11ed-a233-00155d82e902</v>
      </c>
      <c r="AA399" s="33">
        <v>128</v>
      </c>
      <c r="AB399" s="5" t="s">
        <v>598</v>
      </c>
      <c r="AC399" s="5" t="s">
        <v>86</v>
      </c>
      <c r="AD399" s="5"/>
      <c r="AE399" s="5" t="s">
        <v>49</v>
      </c>
      <c r="AF399" s="5"/>
      <c r="AG399" s="5"/>
      <c r="AH399" s="5" t="s">
        <v>1666</v>
      </c>
    </row>
    <row r="400" spans="2:34" ht="22.95" customHeight="1" outlineLevel="4" x14ac:dyDescent="0.2">
      <c r="B400" s="75" t="s">
        <v>1676</v>
      </c>
      <c r="C400" s="75"/>
      <c r="D400" s="75"/>
    </row>
    <row r="401" spans="2:34" ht="21" customHeight="1" outlineLevel="5" x14ac:dyDescent="0.2">
      <c r="B401" s="4">
        <v>276</v>
      </c>
      <c r="C401" s="5" t="s">
        <v>1677</v>
      </c>
      <c r="D401" s="5" t="s">
        <v>1678</v>
      </c>
      <c r="E401" s="6" t="s">
        <v>1679</v>
      </c>
      <c r="F401" s="10"/>
      <c r="G401" s="11" t="s">
        <v>1680</v>
      </c>
      <c r="H401" s="12">
        <v>20</v>
      </c>
      <c r="I401" s="13" t="s">
        <v>41</v>
      </c>
      <c r="J401" s="13"/>
      <c r="K401" s="13"/>
      <c r="L401" s="4">
        <v>5</v>
      </c>
      <c r="M401" s="14">
        <f>119*(1-P3/100)</f>
        <v>119</v>
      </c>
      <c r="N401" s="15"/>
      <c r="O401" s="13">
        <f>M401*N401</f>
        <v>0</v>
      </c>
      <c r="P401" s="22">
        <f>0.108*N401</f>
        <v>0</v>
      </c>
      <c r="Q401" s="23">
        <f>0.00034*N401</f>
        <v>0</v>
      </c>
      <c r="R401" s="24"/>
      <c r="S401" s="25" t="s">
        <v>1681</v>
      </c>
      <c r="T401" s="25" t="s">
        <v>94</v>
      </c>
      <c r="U401" s="5"/>
      <c r="V401" s="5"/>
      <c r="W401" s="5" t="s">
        <v>46</v>
      </c>
      <c r="X401" s="5"/>
      <c r="Y401" s="5"/>
      <c r="Z401" s="5" t="str">
        <f>HYPERLINK("https://knigipp.ru/api/getInfo/image/a5cbaa53-f945-11ec-a213-ac1f6b442185")</f>
        <v>https://knigipp.ru/api/getInfo/image/a5cbaa53-f945-11ec-a213-ac1f6b442185</v>
      </c>
      <c r="AA401" s="33">
        <v>96</v>
      </c>
      <c r="AB401" s="5"/>
      <c r="AC401" s="5" t="s">
        <v>86</v>
      </c>
      <c r="AD401" s="5"/>
      <c r="AE401" s="5" t="s">
        <v>49</v>
      </c>
      <c r="AF401" s="5"/>
      <c r="AG401" s="5"/>
      <c r="AH401" s="5" t="s">
        <v>1682</v>
      </c>
    </row>
    <row r="402" spans="2:34" ht="21" customHeight="1" outlineLevel="5" x14ac:dyDescent="0.2">
      <c r="B402" s="4">
        <v>277</v>
      </c>
      <c r="C402" s="5" t="s">
        <v>1683</v>
      </c>
      <c r="D402" s="5" t="s">
        <v>1684</v>
      </c>
      <c r="E402" s="6" t="s">
        <v>1685</v>
      </c>
      <c r="F402" s="10"/>
      <c r="G402" s="11" t="s">
        <v>1680</v>
      </c>
      <c r="H402" s="12">
        <v>20</v>
      </c>
      <c r="I402" s="13" t="s">
        <v>41</v>
      </c>
      <c r="J402" s="13"/>
      <c r="K402" s="13"/>
      <c r="L402" s="4">
        <v>5</v>
      </c>
      <c r="M402" s="14">
        <f>119*(1-P3/100)</f>
        <v>119</v>
      </c>
      <c r="N402" s="15"/>
      <c r="O402" s="13">
        <f>M402*N402</f>
        <v>0</v>
      </c>
      <c r="P402" s="22">
        <f>0.109*N402</f>
        <v>0</v>
      </c>
      <c r="Q402" s="23">
        <f>0.00021*N402</f>
        <v>0</v>
      </c>
      <c r="R402" s="24"/>
      <c r="S402" s="25" t="s">
        <v>1686</v>
      </c>
      <c r="T402" s="25" t="s">
        <v>94</v>
      </c>
      <c r="U402" s="5"/>
      <c r="V402" s="5"/>
      <c r="W402" s="5" t="s">
        <v>46</v>
      </c>
      <c r="X402" s="5"/>
      <c r="Y402" s="5"/>
      <c r="Z402" s="5" t="str">
        <f>HYPERLINK("https://knigipp.ru/api/getInfo/image/c78a880d-f944-11ec-a213-ac1f6b442185")</f>
        <v>https://knigipp.ru/api/getInfo/image/c78a880d-f944-11ec-a213-ac1f6b442185</v>
      </c>
      <c r="AA402" s="33">
        <v>96</v>
      </c>
      <c r="AB402" s="5"/>
      <c r="AC402" s="5" t="s">
        <v>86</v>
      </c>
      <c r="AD402" s="5"/>
      <c r="AE402" s="5" t="s">
        <v>49</v>
      </c>
      <c r="AF402" s="5"/>
      <c r="AG402" s="5"/>
      <c r="AH402" s="5" t="s">
        <v>1682</v>
      </c>
    </row>
    <row r="403" spans="2:34" ht="21" customHeight="1" outlineLevel="5" x14ac:dyDescent="0.2">
      <c r="B403" s="4">
        <v>278</v>
      </c>
      <c r="C403" s="5" t="s">
        <v>1687</v>
      </c>
      <c r="D403" s="5" t="s">
        <v>1688</v>
      </c>
      <c r="E403" s="6" t="s">
        <v>1689</v>
      </c>
      <c r="F403" s="10"/>
      <c r="G403" s="11" t="s">
        <v>1680</v>
      </c>
      <c r="H403" s="12">
        <v>20</v>
      </c>
      <c r="I403" s="13" t="s">
        <v>41</v>
      </c>
      <c r="J403" s="13"/>
      <c r="K403" s="13"/>
      <c r="L403" s="4">
        <v>5</v>
      </c>
      <c r="M403" s="14">
        <f>119*(1-P3/100)</f>
        <v>119</v>
      </c>
      <c r="N403" s="15"/>
      <c r="O403" s="13">
        <f>M403*N403</f>
        <v>0</v>
      </c>
      <c r="P403" s="22">
        <f>0.103*N403</f>
        <v>0</v>
      </c>
      <c r="Q403" s="23">
        <f>0.00022*N403</f>
        <v>0</v>
      </c>
      <c r="R403" s="24"/>
      <c r="S403" s="25" t="s">
        <v>1690</v>
      </c>
      <c r="T403" s="25" t="s">
        <v>94</v>
      </c>
      <c r="U403" s="5"/>
      <c r="V403" s="5"/>
      <c r="W403" s="5" t="s">
        <v>46</v>
      </c>
      <c r="X403" s="5"/>
      <c r="Y403" s="5"/>
      <c r="Z403" s="5" t="str">
        <f>HYPERLINK("https://knigipp.ru/api/getInfo/image/37f184d5-f946-11ec-a213-ac1f6b442185")</f>
        <v>https://knigipp.ru/api/getInfo/image/37f184d5-f946-11ec-a213-ac1f6b442185</v>
      </c>
      <c r="AA403" s="33">
        <v>96</v>
      </c>
      <c r="AB403" s="5"/>
      <c r="AC403" s="5" t="s">
        <v>86</v>
      </c>
      <c r="AD403" s="5"/>
      <c r="AE403" s="5" t="s">
        <v>49</v>
      </c>
      <c r="AF403" s="5"/>
      <c r="AG403" s="5"/>
      <c r="AH403" s="5" t="s">
        <v>1682</v>
      </c>
    </row>
    <row r="404" spans="2:34" ht="21" customHeight="1" outlineLevel="5" x14ac:dyDescent="0.2">
      <c r="B404" s="4">
        <v>279</v>
      </c>
      <c r="C404" s="5" t="s">
        <v>1691</v>
      </c>
      <c r="D404" s="5" t="s">
        <v>1692</v>
      </c>
      <c r="E404" s="6" t="s">
        <v>1693</v>
      </c>
      <c r="F404" s="10"/>
      <c r="G404" s="11" t="s">
        <v>1680</v>
      </c>
      <c r="H404" s="12">
        <v>20</v>
      </c>
      <c r="I404" s="13" t="s">
        <v>41</v>
      </c>
      <c r="J404" s="13"/>
      <c r="K404" s="13"/>
      <c r="L404" s="4">
        <v>5</v>
      </c>
      <c r="M404" s="14">
        <f>119*(1-P3/100)</f>
        <v>119</v>
      </c>
      <c r="N404" s="15"/>
      <c r="O404" s="13">
        <f>M404*N404</f>
        <v>0</v>
      </c>
      <c r="P404" s="22">
        <f>0.107*N404</f>
        <v>0</v>
      </c>
      <c r="Q404" s="23">
        <f>0.00033*N404</f>
        <v>0</v>
      </c>
      <c r="R404" s="24"/>
      <c r="S404" s="25" t="s">
        <v>1694</v>
      </c>
      <c r="T404" s="25" t="s">
        <v>94</v>
      </c>
      <c r="U404" s="5"/>
      <c r="V404" s="5"/>
      <c r="W404" s="5" t="s">
        <v>46</v>
      </c>
      <c r="X404" s="5"/>
      <c r="Y404" s="5"/>
      <c r="Z404" s="5" t="str">
        <f>HYPERLINK("https://knigipp.ru/api/getInfo/image/fe47a002-f945-11ec-a213-ac1f6b442185")</f>
        <v>https://knigipp.ru/api/getInfo/image/fe47a002-f945-11ec-a213-ac1f6b442185</v>
      </c>
      <c r="AA404" s="33">
        <v>96</v>
      </c>
      <c r="AB404" s="5"/>
      <c r="AC404" s="5" t="s">
        <v>86</v>
      </c>
      <c r="AD404" s="5"/>
      <c r="AE404" s="5" t="s">
        <v>49</v>
      </c>
      <c r="AF404" s="5"/>
      <c r="AG404" s="5"/>
      <c r="AH404" s="5" t="s">
        <v>1682</v>
      </c>
    </row>
    <row r="405" spans="2:34" ht="22.95" customHeight="1" outlineLevel="4" x14ac:dyDescent="0.2">
      <c r="B405" s="75" t="s">
        <v>1695</v>
      </c>
      <c r="C405" s="75"/>
      <c r="D405" s="75"/>
    </row>
    <row r="406" spans="2:34" ht="21" customHeight="1" outlineLevel="5" x14ac:dyDescent="0.2">
      <c r="B406" s="4">
        <v>280</v>
      </c>
      <c r="C406" s="5" t="s">
        <v>1696</v>
      </c>
      <c r="D406" s="5" t="s">
        <v>1697</v>
      </c>
      <c r="E406" s="6" t="s">
        <v>1698</v>
      </c>
      <c r="F406" s="10"/>
      <c r="G406" s="11" t="s">
        <v>1699</v>
      </c>
      <c r="H406" s="12">
        <v>20</v>
      </c>
      <c r="I406" s="13" t="s">
        <v>41</v>
      </c>
      <c r="J406" s="13"/>
      <c r="K406" s="13"/>
      <c r="L406" s="4">
        <v>8</v>
      </c>
      <c r="M406" s="14">
        <f>77.88*(1-P3/100)</f>
        <v>77.88</v>
      </c>
      <c r="N406" s="15"/>
      <c r="O406" s="13">
        <f>M406*N406</f>
        <v>0</v>
      </c>
      <c r="P406" s="22">
        <f>0.114*N406</f>
        <v>0</v>
      </c>
      <c r="Q406" s="23">
        <f>0.00015*N406</f>
        <v>0</v>
      </c>
      <c r="R406" s="24"/>
      <c r="S406" s="25" t="s">
        <v>1700</v>
      </c>
      <c r="T406" s="25" t="s">
        <v>94</v>
      </c>
      <c r="U406" s="5"/>
      <c r="V406" s="5"/>
      <c r="W406" s="5" t="s">
        <v>46</v>
      </c>
      <c r="X406" s="5"/>
      <c r="Y406" s="5"/>
      <c r="Z406" s="5" t="str">
        <f>HYPERLINK("https://knigipp.ru/api/getInfo/image/a14c1046-5348-11ec-a20f-ac1f6b442185")</f>
        <v>https://knigipp.ru/api/getInfo/image/a14c1046-5348-11ec-a20f-ac1f6b442185</v>
      </c>
      <c r="AA406" s="33">
        <v>160</v>
      </c>
      <c r="AB406" s="5" t="s">
        <v>598</v>
      </c>
      <c r="AC406" s="5" t="s">
        <v>48</v>
      </c>
      <c r="AD406" s="33">
        <v>100</v>
      </c>
      <c r="AE406" s="5" t="s">
        <v>49</v>
      </c>
      <c r="AF406" s="5"/>
      <c r="AG406" s="5"/>
      <c r="AH406" s="5" t="s">
        <v>899</v>
      </c>
    </row>
    <row r="407" spans="2:34" ht="21" customHeight="1" outlineLevel="5" x14ac:dyDescent="0.2">
      <c r="B407" s="4">
        <v>281</v>
      </c>
      <c r="C407" s="5" t="s">
        <v>1701</v>
      </c>
      <c r="D407" s="5" t="s">
        <v>1702</v>
      </c>
      <c r="E407" s="6" t="s">
        <v>1703</v>
      </c>
      <c r="F407" s="10"/>
      <c r="G407" s="11" t="s">
        <v>1699</v>
      </c>
      <c r="H407" s="12">
        <v>20</v>
      </c>
      <c r="I407" s="13" t="s">
        <v>41</v>
      </c>
      <c r="J407" s="13"/>
      <c r="K407" s="13"/>
      <c r="L407" s="4">
        <v>8</v>
      </c>
      <c r="M407" s="14">
        <f>77.88*(1-P3/100)</f>
        <v>77.88</v>
      </c>
      <c r="N407" s="15"/>
      <c r="O407" s="13">
        <f>M407*N407</f>
        <v>0</v>
      </c>
      <c r="P407" s="13">
        <v>0</v>
      </c>
      <c r="Q407" s="13">
        <v>0</v>
      </c>
      <c r="R407" s="24"/>
      <c r="S407" s="25" t="s">
        <v>1704</v>
      </c>
      <c r="T407" s="25" t="s">
        <v>94</v>
      </c>
      <c r="U407" s="5"/>
      <c r="V407" s="5"/>
      <c r="W407" s="5" t="s">
        <v>46</v>
      </c>
      <c r="X407" s="5"/>
      <c r="Y407" s="5"/>
      <c r="Z407" s="5" t="str">
        <f>HYPERLINK("https://knigipp.ru/api/getInfo/image/7c8eef0f-11a5-11ed-a215-ac1f6b442185")</f>
        <v>https://knigipp.ru/api/getInfo/image/7c8eef0f-11a5-11ed-a215-ac1f6b442185</v>
      </c>
      <c r="AA407" s="33">
        <v>160</v>
      </c>
      <c r="AB407" s="5" t="s">
        <v>598</v>
      </c>
      <c r="AC407" s="5" t="s">
        <v>48</v>
      </c>
      <c r="AD407" s="33">
        <v>100</v>
      </c>
      <c r="AE407" s="5" t="s">
        <v>49</v>
      </c>
      <c r="AF407" s="5"/>
      <c r="AG407" s="5"/>
      <c r="AH407" s="5" t="s">
        <v>899</v>
      </c>
    </row>
    <row r="408" spans="2:34" ht="21" customHeight="1" outlineLevel="5" x14ac:dyDescent="0.2">
      <c r="B408" s="4">
        <v>282</v>
      </c>
      <c r="C408" s="5" t="s">
        <v>1705</v>
      </c>
      <c r="D408" s="5" t="s">
        <v>1706</v>
      </c>
      <c r="E408" s="6" t="s">
        <v>1707</v>
      </c>
      <c r="F408" s="10"/>
      <c r="G408" s="11" t="s">
        <v>1699</v>
      </c>
      <c r="H408" s="12">
        <v>20</v>
      </c>
      <c r="I408" s="13" t="s">
        <v>371</v>
      </c>
      <c r="J408" s="13"/>
      <c r="K408" s="13"/>
      <c r="L408" s="4">
        <v>8</v>
      </c>
      <c r="M408" s="14">
        <f>77.88*(1-P3/100)</f>
        <v>77.88</v>
      </c>
      <c r="N408" s="15"/>
      <c r="O408" s="13">
        <f>M408*N408</f>
        <v>0</v>
      </c>
      <c r="P408" s="13">
        <v>0</v>
      </c>
      <c r="Q408" s="13">
        <v>0</v>
      </c>
      <c r="R408" s="24"/>
      <c r="S408" s="25" t="s">
        <v>1708</v>
      </c>
      <c r="T408" s="25" t="s">
        <v>94</v>
      </c>
      <c r="U408" s="5"/>
      <c r="V408" s="5"/>
      <c r="W408" s="5" t="s">
        <v>46</v>
      </c>
      <c r="X408" s="5"/>
      <c r="Y408" s="5"/>
      <c r="Z408" s="5" t="str">
        <f>HYPERLINK("https://knigipp.ru/api/getInfo/image/1db063c9-f20c-11ec-a213-ac1f6b442185")</f>
        <v>https://knigipp.ru/api/getInfo/image/1db063c9-f20c-11ec-a213-ac1f6b442185</v>
      </c>
      <c r="AA408" s="33">
        <v>160</v>
      </c>
      <c r="AB408" s="5" t="s">
        <v>598</v>
      </c>
      <c r="AC408" s="5" t="s">
        <v>48</v>
      </c>
      <c r="AD408" s="33">
        <v>100</v>
      </c>
      <c r="AE408" s="5" t="s">
        <v>49</v>
      </c>
      <c r="AF408" s="5"/>
      <c r="AG408" s="5"/>
      <c r="AH408" s="5" t="s">
        <v>899</v>
      </c>
    </row>
    <row r="409" spans="2:34" ht="21" customHeight="1" outlineLevel="5" x14ac:dyDescent="0.2">
      <c r="B409" s="4">
        <v>283</v>
      </c>
      <c r="C409" s="5" t="s">
        <v>1709</v>
      </c>
      <c r="D409" s="5" t="s">
        <v>1710</v>
      </c>
      <c r="E409" s="6" t="s">
        <v>1711</v>
      </c>
      <c r="F409" s="10"/>
      <c r="G409" s="11" t="s">
        <v>1699</v>
      </c>
      <c r="H409" s="12">
        <v>20</v>
      </c>
      <c r="I409" s="13" t="s">
        <v>41</v>
      </c>
      <c r="J409" s="13"/>
      <c r="K409" s="13"/>
      <c r="L409" s="4">
        <v>8</v>
      </c>
      <c r="M409" s="14">
        <f>77.88*(1-P3/100)</f>
        <v>77.88</v>
      </c>
      <c r="N409" s="15"/>
      <c r="O409" s="13">
        <f>M409*N409</f>
        <v>0</v>
      </c>
      <c r="P409" s="13">
        <v>0</v>
      </c>
      <c r="Q409" s="13">
        <v>0</v>
      </c>
      <c r="R409" s="24"/>
      <c r="S409" s="25" t="s">
        <v>1712</v>
      </c>
      <c r="T409" s="25" t="s">
        <v>94</v>
      </c>
      <c r="U409" s="5"/>
      <c r="V409" s="5"/>
      <c r="W409" s="5" t="s">
        <v>46</v>
      </c>
      <c r="X409" s="5"/>
      <c r="Y409" s="5"/>
      <c r="Z409" s="5" t="str">
        <f>HYPERLINK("https://knigipp.ru/api/getInfo/image/be75abbe-b1b7-11ec-a211-ac1f6b442185")</f>
        <v>https://knigipp.ru/api/getInfo/image/be75abbe-b1b7-11ec-a211-ac1f6b442185</v>
      </c>
      <c r="AA409" s="33">
        <v>160</v>
      </c>
      <c r="AB409" s="5" t="s">
        <v>598</v>
      </c>
      <c r="AC409" s="5" t="s">
        <v>48</v>
      </c>
      <c r="AD409" s="33">
        <v>100</v>
      </c>
      <c r="AE409" s="5" t="s">
        <v>49</v>
      </c>
      <c r="AF409" s="5"/>
      <c r="AG409" s="5"/>
      <c r="AH409" s="5" t="s">
        <v>899</v>
      </c>
    </row>
    <row r="410" spans="2:34" ht="22.95" customHeight="1" outlineLevel="4" x14ac:dyDescent="0.2">
      <c r="B410" s="75" t="s">
        <v>1713</v>
      </c>
      <c r="C410" s="75"/>
      <c r="D410" s="75"/>
    </row>
    <row r="411" spans="2:34" ht="21" customHeight="1" outlineLevel="5" x14ac:dyDescent="0.2">
      <c r="B411" s="4">
        <v>284</v>
      </c>
      <c r="C411" s="5" t="s">
        <v>1714</v>
      </c>
      <c r="D411" s="5" t="s">
        <v>1715</v>
      </c>
      <c r="E411" s="6" t="s">
        <v>1716</v>
      </c>
      <c r="F411" s="10"/>
      <c r="G411" s="11" t="s">
        <v>1717</v>
      </c>
      <c r="H411" s="12">
        <v>20</v>
      </c>
      <c r="I411" s="13" t="s">
        <v>41</v>
      </c>
      <c r="J411" s="13"/>
      <c r="K411" s="13"/>
      <c r="L411" s="4">
        <v>5</v>
      </c>
      <c r="M411" s="14">
        <f>129*(1-P3/100)</f>
        <v>129</v>
      </c>
      <c r="N411" s="15"/>
      <c r="O411" s="13">
        <f>M411*N411</f>
        <v>0</v>
      </c>
      <c r="P411" s="22">
        <f>0.119*N411</f>
        <v>0</v>
      </c>
      <c r="Q411" s="23">
        <f>0.00022*N411</f>
        <v>0</v>
      </c>
      <c r="R411" s="24"/>
      <c r="S411" s="25" t="s">
        <v>1718</v>
      </c>
      <c r="T411" s="25" t="s">
        <v>94</v>
      </c>
      <c r="U411" s="5"/>
      <c r="V411" s="5"/>
      <c r="W411" s="5" t="s">
        <v>46</v>
      </c>
      <c r="X411" s="5"/>
      <c r="Y411" s="5"/>
      <c r="Z411" s="5" t="str">
        <f>HYPERLINK("https://knigipp.ru/api/getInfo/image/9f88baba-cbae-11ec-a212-ac1f6b442185")</f>
        <v>https://knigipp.ru/api/getInfo/image/9f88baba-cbae-11ec-a212-ac1f6b442185</v>
      </c>
      <c r="AA411" s="33">
        <v>96</v>
      </c>
      <c r="AB411" s="5" t="s">
        <v>598</v>
      </c>
      <c r="AC411" s="5" t="s">
        <v>86</v>
      </c>
      <c r="AD411" s="5"/>
      <c r="AE411" s="5" t="s">
        <v>49</v>
      </c>
      <c r="AF411" s="5"/>
      <c r="AG411" s="5"/>
      <c r="AH411" s="5" t="s">
        <v>1719</v>
      </c>
    </row>
    <row r="412" spans="2:34" ht="21" customHeight="1" outlineLevel="5" x14ac:dyDescent="0.2">
      <c r="B412" s="4">
        <v>285</v>
      </c>
      <c r="C412" s="5" t="s">
        <v>1720</v>
      </c>
      <c r="D412" s="5" t="s">
        <v>1721</v>
      </c>
      <c r="E412" s="6" t="s">
        <v>1722</v>
      </c>
      <c r="F412" s="10"/>
      <c r="G412" s="11" t="s">
        <v>1717</v>
      </c>
      <c r="H412" s="12">
        <v>20</v>
      </c>
      <c r="I412" s="13" t="s">
        <v>261</v>
      </c>
      <c r="J412" s="13"/>
      <c r="K412" s="13"/>
      <c r="L412" s="4">
        <v>5</v>
      </c>
      <c r="M412" s="14">
        <f>129*(1-P3/100)</f>
        <v>129</v>
      </c>
      <c r="N412" s="15"/>
      <c r="O412" s="13">
        <f>M412*N412</f>
        <v>0</v>
      </c>
      <c r="P412" s="13">
        <v>0</v>
      </c>
      <c r="Q412" s="13">
        <v>0</v>
      </c>
      <c r="R412" s="24"/>
      <c r="S412" s="25" t="s">
        <v>1723</v>
      </c>
      <c r="T412" s="25" t="s">
        <v>94</v>
      </c>
      <c r="U412" s="5"/>
      <c r="V412" s="5"/>
      <c r="W412" s="5" t="s">
        <v>46</v>
      </c>
      <c r="X412" s="5"/>
      <c r="Y412" s="5"/>
      <c r="Z412" s="5" t="str">
        <f>HYPERLINK("https://knigipp.ru/api/getInfo/image/948a1e5c-cbad-11ec-a212-ac1f6b442185")</f>
        <v>https://knigipp.ru/api/getInfo/image/948a1e5c-cbad-11ec-a212-ac1f6b442185</v>
      </c>
      <c r="AA412" s="33">
        <v>96</v>
      </c>
      <c r="AB412" s="5" t="s">
        <v>598</v>
      </c>
      <c r="AC412" s="5" t="s">
        <v>86</v>
      </c>
      <c r="AD412" s="5"/>
      <c r="AE412" s="5" t="s">
        <v>49</v>
      </c>
      <c r="AF412" s="5"/>
      <c r="AG412" s="5"/>
      <c r="AH412" s="5" t="s">
        <v>1719</v>
      </c>
    </row>
    <row r="413" spans="2:34" ht="21" customHeight="1" outlineLevel="5" x14ac:dyDescent="0.2">
      <c r="B413" s="4">
        <v>286</v>
      </c>
      <c r="C413" s="5" t="s">
        <v>1724</v>
      </c>
      <c r="D413" s="5" t="s">
        <v>1725</v>
      </c>
      <c r="E413" s="6" t="s">
        <v>1726</v>
      </c>
      <c r="F413" s="10"/>
      <c r="G413" s="11" t="s">
        <v>1717</v>
      </c>
      <c r="H413" s="12">
        <v>20</v>
      </c>
      <c r="I413" s="13" t="s">
        <v>371</v>
      </c>
      <c r="J413" s="13"/>
      <c r="K413" s="13"/>
      <c r="L413" s="4">
        <v>5</v>
      </c>
      <c r="M413" s="14">
        <f>129*(1-P3/100)</f>
        <v>129</v>
      </c>
      <c r="N413" s="15"/>
      <c r="O413" s="13">
        <f>M413*N413</f>
        <v>0</v>
      </c>
      <c r="P413" s="22">
        <f>0.137*N413</f>
        <v>0</v>
      </c>
      <c r="Q413" s="23">
        <f>0.00042*N413</f>
        <v>0</v>
      </c>
      <c r="R413" s="24"/>
      <c r="S413" s="25" t="s">
        <v>1727</v>
      </c>
      <c r="T413" s="25" t="s">
        <v>94</v>
      </c>
      <c r="U413" s="5"/>
      <c r="V413" s="5"/>
      <c r="W413" s="5" t="s">
        <v>46</v>
      </c>
      <c r="X413" s="5"/>
      <c r="Y413" s="5"/>
      <c r="Z413" s="5" t="str">
        <f>HYPERLINK("https://knigipp.ru/api/getInfo/image/2549ec7c-cba7-11ec-a212-ac1f6b442185")</f>
        <v>https://knigipp.ru/api/getInfo/image/2549ec7c-cba7-11ec-a212-ac1f6b442185</v>
      </c>
      <c r="AA413" s="33">
        <v>96</v>
      </c>
      <c r="AB413" s="5"/>
      <c r="AC413" s="5" t="s">
        <v>86</v>
      </c>
      <c r="AD413" s="5"/>
      <c r="AE413" s="5" t="s">
        <v>49</v>
      </c>
      <c r="AF413" s="5"/>
      <c r="AG413" s="5"/>
      <c r="AH413" s="5" t="s">
        <v>1719</v>
      </c>
    </row>
    <row r="414" spans="2:34" ht="21" customHeight="1" outlineLevel="5" x14ac:dyDescent="0.2">
      <c r="B414" s="4">
        <v>287</v>
      </c>
      <c r="C414" s="5" t="s">
        <v>1728</v>
      </c>
      <c r="D414" s="5" t="s">
        <v>1729</v>
      </c>
      <c r="E414" s="6" t="s">
        <v>1730</v>
      </c>
      <c r="F414" s="10"/>
      <c r="G414" s="11" t="s">
        <v>1717</v>
      </c>
      <c r="H414" s="12">
        <v>20</v>
      </c>
      <c r="I414" s="13" t="s">
        <v>41</v>
      </c>
      <c r="J414" s="13"/>
      <c r="K414" s="13"/>
      <c r="L414" s="4">
        <v>5</v>
      </c>
      <c r="M414" s="14">
        <f>129*(1-P3/100)</f>
        <v>129</v>
      </c>
      <c r="N414" s="15"/>
      <c r="O414" s="13">
        <f>M414*N414</f>
        <v>0</v>
      </c>
      <c r="P414" s="22">
        <f>0.124*N414</f>
        <v>0</v>
      </c>
      <c r="Q414" s="23">
        <f>0.00024*N414</f>
        <v>0</v>
      </c>
      <c r="R414" s="24"/>
      <c r="S414" s="25" t="s">
        <v>1731</v>
      </c>
      <c r="T414" s="25" t="s">
        <v>94</v>
      </c>
      <c r="U414" s="5"/>
      <c r="V414" s="5"/>
      <c r="W414" s="5" t="s">
        <v>46</v>
      </c>
      <c r="X414" s="5"/>
      <c r="Y414" s="5"/>
      <c r="Z414" s="5" t="str">
        <f>HYPERLINK("https://knigipp.ru/api/getInfo/image/db122118-cba6-11ec-a212-ac1f6b442185")</f>
        <v>https://knigipp.ru/api/getInfo/image/db122118-cba6-11ec-a212-ac1f6b442185</v>
      </c>
      <c r="AA414" s="33">
        <v>96</v>
      </c>
      <c r="AB414" s="5"/>
      <c r="AC414" s="5" t="s">
        <v>86</v>
      </c>
      <c r="AD414" s="5"/>
      <c r="AE414" s="5" t="s">
        <v>49</v>
      </c>
      <c r="AF414" s="5"/>
      <c r="AG414" s="5"/>
      <c r="AH414" s="5" t="s">
        <v>1719</v>
      </c>
    </row>
    <row r="415" spans="2:34" ht="21" customHeight="1" outlineLevel="5" x14ac:dyDescent="0.2">
      <c r="B415" s="4">
        <v>288</v>
      </c>
      <c r="C415" s="5" t="s">
        <v>1732</v>
      </c>
      <c r="D415" s="5" t="s">
        <v>1733</v>
      </c>
      <c r="E415" s="6" t="s">
        <v>1734</v>
      </c>
      <c r="F415" s="10"/>
      <c r="G415" s="11" t="s">
        <v>1717</v>
      </c>
      <c r="H415" s="12">
        <v>20</v>
      </c>
      <c r="I415" s="13" t="s">
        <v>371</v>
      </c>
      <c r="J415" s="13"/>
      <c r="K415" s="13"/>
      <c r="L415" s="4">
        <v>5</v>
      </c>
      <c r="M415" s="14">
        <f>129*(1-P3/100)</f>
        <v>129</v>
      </c>
      <c r="N415" s="15"/>
      <c r="O415" s="13">
        <f>M415*N415</f>
        <v>0</v>
      </c>
      <c r="P415" s="22">
        <f>0.127*N415</f>
        <v>0</v>
      </c>
      <c r="Q415" s="23">
        <f>0.00021*N415</f>
        <v>0</v>
      </c>
      <c r="R415" s="24"/>
      <c r="S415" s="25" t="s">
        <v>1735</v>
      </c>
      <c r="T415" s="25" t="s">
        <v>94</v>
      </c>
      <c r="U415" s="5"/>
      <c r="V415" s="5"/>
      <c r="W415" s="5" t="s">
        <v>46</v>
      </c>
      <c r="X415" s="5"/>
      <c r="Y415" s="5"/>
      <c r="Z415" s="5" t="str">
        <f>HYPERLINK("https://knigipp.ru/api/getInfo/image/6d93cff4-cbae-11ec-a212-ac1f6b442185")</f>
        <v>https://knigipp.ru/api/getInfo/image/6d93cff4-cbae-11ec-a212-ac1f6b442185</v>
      </c>
      <c r="AA415" s="33">
        <v>96</v>
      </c>
      <c r="AB415" s="5"/>
      <c r="AC415" s="5" t="s">
        <v>86</v>
      </c>
      <c r="AD415" s="5"/>
      <c r="AE415" s="5" t="s">
        <v>49</v>
      </c>
      <c r="AF415" s="5"/>
      <c r="AG415" s="5"/>
      <c r="AH415" s="5" t="s">
        <v>1719</v>
      </c>
    </row>
    <row r="416" spans="2:34" ht="22.95" customHeight="1" outlineLevel="4" x14ac:dyDescent="0.2">
      <c r="B416" s="75" t="s">
        <v>1736</v>
      </c>
      <c r="C416" s="75"/>
      <c r="D416" s="75"/>
    </row>
    <row r="417" spans="2:34" ht="21" customHeight="1" outlineLevel="5" x14ac:dyDescent="0.2">
      <c r="B417" s="4">
        <v>289</v>
      </c>
      <c r="C417" s="5" t="s">
        <v>1737</v>
      </c>
      <c r="D417" s="5" t="s">
        <v>1738</v>
      </c>
      <c r="E417" s="6" t="s">
        <v>1739</v>
      </c>
      <c r="F417" s="10"/>
      <c r="G417" s="11" t="s">
        <v>1740</v>
      </c>
      <c r="H417" s="12">
        <v>10</v>
      </c>
      <c r="I417" s="13" t="s">
        <v>261</v>
      </c>
      <c r="J417" s="13"/>
      <c r="K417" s="13"/>
      <c r="L417" s="4">
        <v>2</v>
      </c>
      <c r="M417" s="14">
        <f>319.6*(1-P3/100)</f>
        <v>319.60000000000002</v>
      </c>
      <c r="N417" s="15"/>
      <c r="O417" s="13">
        <f>M417*N417</f>
        <v>0</v>
      </c>
      <c r="P417" s="13">
        <v>0</v>
      </c>
      <c r="Q417" s="13">
        <v>0</v>
      </c>
      <c r="R417" s="24"/>
      <c r="S417" s="25" t="s">
        <v>1741</v>
      </c>
      <c r="T417" s="25" t="s">
        <v>94</v>
      </c>
      <c r="U417" s="5"/>
      <c r="V417" s="5"/>
      <c r="W417" s="5" t="s">
        <v>46</v>
      </c>
      <c r="X417" s="5"/>
      <c r="Y417" s="5"/>
      <c r="Z417" s="5" t="str">
        <f>HYPERLINK("https://knigipp.ru/api/getInfo/image/80345965-993f-11ec-a211-ac1f6b442185")</f>
        <v>https://knigipp.ru/api/getInfo/image/80345965-993f-11ec-a211-ac1f6b442185</v>
      </c>
      <c r="AA417" s="33">
        <v>128</v>
      </c>
      <c r="AB417" s="5"/>
      <c r="AC417" s="5" t="s">
        <v>86</v>
      </c>
      <c r="AD417" s="33">
        <v>120</v>
      </c>
      <c r="AE417" s="5" t="s">
        <v>49</v>
      </c>
      <c r="AF417" s="5"/>
      <c r="AG417" s="5"/>
      <c r="AH417" s="5" t="s">
        <v>1742</v>
      </c>
    </row>
    <row r="418" spans="2:34" ht="21" customHeight="1" outlineLevel="5" x14ac:dyDescent="0.2">
      <c r="B418" s="4">
        <v>290</v>
      </c>
      <c r="C418" s="5" t="s">
        <v>1743</v>
      </c>
      <c r="D418" s="5" t="s">
        <v>1744</v>
      </c>
      <c r="E418" s="6" t="s">
        <v>1745</v>
      </c>
      <c r="F418" s="10"/>
      <c r="G418" s="11" t="s">
        <v>1740</v>
      </c>
      <c r="H418" s="12">
        <v>10</v>
      </c>
      <c r="I418" s="13" t="s">
        <v>261</v>
      </c>
      <c r="J418" s="13"/>
      <c r="K418" s="13"/>
      <c r="L418" s="4">
        <v>2</v>
      </c>
      <c r="M418" s="14">
        <f>319.6*(1-P3/100)</f>
        <v>319.60000000000002</v>
      </c>
      <c r="N418" s="15"/>
      <c r="O418" s="13">
        <f>M418*N418</f>
        <v>0</v>
      </c>
      <c r="P418" s="13">
        <v>0</v>
      </c>
      <c r="Q418" s="13">
        <v>0</v>
      </c>
      <c r="R418" s="24"/>
      <c r="S418" s="25" t="s">
        <v>1746</v>
      </c>
      <c r="T418" s="25" t="s">
        <v>94</v>
      </c>
      <c r="U418" s="5"/>
      <c r="V418" s="5"/>
      <c r="W418" s="5" t="s">
        <v>46</v>
      </c>
      <c r="X418" s="5"/>
      <c r="Y418" s="5"/>
      <c r="Z418" s="5" t="str">
        <f>HYPERLINK("https://knigipp.ru/api/getInfo/image/254ef77a-9940-11ec-a211-ac1f6b442185")</f>
        <v>https://knigipp.ru/api/getInfo/image/254ef77a-9940-11ec-a211-ac1f6b442185</v>
      </c>
      <c r="AA418" s="33">
        <v>128</v>
      </c>
      <c r="AB418" s="5"/>
      <c r="AC418" s="5" t="s">
        <v>86</v>
      </c>
      <c r="AD418" s="33">
        <v>120</v>
      </c>
      <c r="AE418" s="5" t="s">
        <v>49</v>
      </c>
      <c r="AF418" s="5"/>
      <c r="AG418" s="5"/>
      <c r="AH418" s="5" t="s">
        <v>1742</v>
      </c>
    </row>
    <row r="419" spans="2:34" ht="21" customHeight="1" outlineLevel="5" x14ac:dyDescent="0.2">
      <c r="B419" s="4">
        <v>291</v>
      </c>
      <c r="C419" s="5" t="s">
        <v>1747</v>
      </c>
      <c r="D419" s="5" t="s">
        <v>1748</v>
      </c>
      <c r="E419" s="6" t="s">
        <v>1749</v>
      </c>
      <c r="F419" s="10"/>
      <c r="G419" s="11" t="s">
        <v>1740</v>
      </c>
      <c r="H419" s="12">
        <v>10</v>
      </c>
      <c r="I419" s="13" t="s">
        <v>371</v>
      </c>
      <c r="J419" s="13"/>
      <c r="K419" s="13"/>
      <c r="L419" s="4">
        <v>2</v>
      </c>
      <c r="M419" s="14">
        <f>319.6*(1-P3/100)</f>
        <v>319.60000000000002</v>
      </c>
      <c r="N419" s="15"/>
      <c r="O419" s="13">
        <f>M419*N419</f>
        <v>0</v>
      </c>
      <c r="P419" s="13">
        <v>0</v>
      </c>
      <c r="Q419" s="13">
        <v>0</v>
      </c>
      <c r="R419" s="24"/>
      <c r="S419" s="25" t="s">
        <v>1750</v>
      </c>
      <c r="T419" s="25" t="s">
        <v>94</v>
      </c>
      <c r="U419" s="5"/>
      <c r="V419" s="5"/>
      <c r="W419" s="5" t="s">
        <v>46</v>
      </c>
      <c r="X419" s="5"/>
      <c r="Y419" s="5"/>
      <c r="Z419" s="5" t="str">
        <f>HYPERLINK("https://knigipp.ru/api/getInfo/image/ba0ad585-5430-11ed-a21e-ac1f6b442185")</f>
        <v>https://knigipp.ru/api/getInfo/image/ba0ad585-5430-11ed-a21e-ac1f6b442185</v>
      </c>
      <c r="AA419" s="33">
        <v>128</v>
      </c>
      <c r="AB419" s="5" t="s">
        <v>598</v>
      </c>
      <c r="AC419" s="5" t="s">
        <v>86</v>
      </c>
      <c r="AD419" s="33">
        <v>120</v>
      </c>
      <c r="AE419" s="5" t="s">
        <v>49</v>
      </c>
      <c r="AF419" s="5"/>
      <c r="AG419" s="5"/>
      <c r="AH419" s="5" t="s">
        <v>1742</v>
      </c>
    </row>
    <row r="420" spans="2:34" ht="22.95" customHeight="1" outlineLevel="4" x14ac:dyDescent="0.2">
      <c r="B420" s="75" t="s">
        <v>1751</v>
      </c>
      <c r="C420" s="75"/>
      <c r="D420" s="75"/>
    </row>
    <row r="421" spans="2:34" ht="21" customHeight="1" outlineLevel="5" x14ac:dyDescent="0.2">
      <c r="B421" s="4">
        <v>292</v>
      </c>
      <c r="C421" s="5" t="s">
        <v>1752</v>
      </c>
      <c r="D421" s="5" t="s">
        <v>1753</v>
      </c>
      <c r="E421" s="6" t="s">
        <v>1754</v>
      </c>
      <c r="F421" s="10"/>
      <c r="G421" s="11" t="s">
        <v>1755</v>
      </c>
      <c r="H421" s="12">
        <v>10</v>
      </c>
      <c r="I421" s="13" t="s">
        <v>41</v>
      </c>
      <c r="J421" s="13"/>
      <c r="K421" s="13"/>
      <c r="L421" s="4">
        <v>1</v>
      </c>
      <c r="M421" s="14">
        <f>347*(1-P3/100)</f>
        <v>347</v>
      </c>
      <c r="N421" s="15"/>
      <c r="O421" s="13">
        <f t="shared" ref="O421:O434" si="6">M421*N421</f>
        <v>0</v>
      </c>
      <c r="P421" s="22">
        <f>0.404*N421</f>
        <v>0</v>
      </c>
      <c r="Q421" s="23">
        <f>0.00062*N421</f>
        <v>0</v>
      </c>
      <c r="R421" s="24"/>
      <c r="S421" s="25" t="s">
        <v>1756</v>
      </c>
      <c r="T421" s="25" t="s">
        <v>94</v>
      </c>
      <c r="U421" s="5"/>
      <c r="V421" s="5"/>
      <c r="W421" s="5" t="s">
        <v>46</v>
      </c>
      <c r="X421" s="5"/>
      <c r="Y421" s="5"/>
      <c r="Z421" s="5" t="str">
        <f>HYPERLINK("https://knigipp.ru/api/getInfo/image/07a2ba5d-037d-11ed-a213-ac1f6b442185")</f>
        <v>https://knigipp.ru/api/getInfo/image/07a2ba5d-037d-11ed-a213-ac1f6b442185</v>
      </c>
      <c r="AA421" s="33">
        <v>160</v>
      </c>
      <c r="AB421" s="5"/>
      <c r="AC421" s="5" t="s">
        <v>86</v>
      </c>
      <c r="AD421" s="5"/>
      <c r="AE421" s="5" t="s">
        <v>49</v>
      </c>
      <c r="AF421" s="5"/>
      <c r="AG421" s="5"/>
      <c r="AH421" s="5" t="s">
        <v>1757</v>
      </c>
    </row>
    <row r="422" spans="2:34" ht="21" customHeight="1" outlineLevel="5" x14ac:dyDescent="0.2">
      <c r="B422" s="4">
        <v>293</v>
      </c>
      <c r="C422" s="5" t="s">
        <v>1758</v>
      </c>
      <c r="D422" s="5" t="s">
        <v>1759</v>
      </c>
      <c r="E422" s="6" t="s">
        <v>1760</v>
      </c>
      <c r="F422" s="10"/>
      <c r="G422" s="11" t="s">
        <v>1761</v>
      </c>
      <c r="H422" s="12">
        <v>10</v>
      </c>
      <c r="I422" s="13" t="s">
        <v>41</v>
      </c>
      <c r="J422" s="13"/>
      <c r="K422" s="13"/>
      <c r="L422" s="4">
        <v>1</v>
      </c>
      <c r="M422" s="14">
        <f>347*(1-P3/100)</f>
        <v>347</v>
      </c>
      <c r="N422" s="15"/>
      <c r="O422" s="13">
        <f t="shared" si="6"/>
        <v>0</v>
      </c>
      <c r="P422" s="32">
        <f>0.37*N422</f>
        <v>0</v>
      </c>
      <c r="Q422" s="23">
        <f>0.00171*N422</f>
        <v>0</v>
      </c>
      <c r="R422" s="24"/>
      <c r="S422" s="25" t="s">
        <v>1762</v>
      </c>
      <c r="T422" s="25" t="s">
        <v>94</v>
      </c>
      <c r="U422" s="5"/>
      <c r="V422" s="5"/>
      <c r="W422" s="5" t="s">
        <v>46</v>
      </c>
      <c r="X422" s="5"/>
      <c r="Y422" s="5"/>
      <c r="Z422" s="5" t="str">
        <f>HYPERLINK("https://knigipp.ru/api/getInfo/image/ed661811-46a7-11eb-a25e-ac1f6b442184")</f>
        <v>https://knigipp.ru/api/getInfo/image/ed661811-46a7-11eb-a25e-ac1f6b442184</v>
      </c>
      <c r="AA422" s="33">
        <v>160</v>
      </c>
      <c r="AB422" s="5"/>
      <c r="AC422" s="5" t="s">
        <v>86</v>
      </c>
      <c r="AD422" s="5"/>
      <c r="AE422" s="5" t="s">
        <v>49</v>
      </c>
      <c r="AF422" s="5"/>
      <c r="AG422" s="5"/>
      <c r="AH422" s="5" t="s">
        <v>1757</v>
      </c>
    </row>
    <row r="423" spans="2:34" ht="21" customHeight="1" outlineLevel="5" x14ac:dyDescent="0.2">
      <c r="B423" s="4">
        <v>294</v>
      </c>
      <c r="C423" s="5" t="s">
        <v>1763</v>
      </c>
      <c r="D423" s="5" t="s">
        <v>1764</v>
      </c>
      <c r="E423" s="6" t="s">
        <v>1765</v>
      </c>
      <c r="F423" s="10"/>
      <c r="G423" s="11" t="s">
        <v>1766</v>
      </c>
      <c r="H423" s="12">
        <v>10</v>
      </c>
      <c r="I423" s="13" t="s">
        <v>41</v>
      </c>
      <c r="J423" s="13"/>
      <c r="K423" s="13"/>
      <c r="L423" s="4">
        <v>1</v>
      </c>
      <c r="M423" s="14">
        <f>347*(1-P3/100)</f>
        <v>347</v>
      </c>
      <c r="N423" s="15"/>
      <c r="O423" s="13">
        <f t="shared" si="6"/>
        <v>0</v>
      </c>
      <c r="P423" s="22">
        <f>0.405*N423</f>
        <v>0</v>
      </c>
      <c r="Q423" s="23">
        <f>0.00067*N423</f>
        <v>0</v>
      </c>
      <c r="R423" s="24"/>
      <c r="S423" s="25" t="s">
        <v>1767</v>
      </c>
      <c r="T423" s="25" t="s">
        <v>94</v>
      </c>
      <c r="U423" s="5"/>
      <c r="V423" s="5"/>
      <c r="W423" s="5" t="s">
        <v>46</v>
      </c>
      <c r="X423" s="5" t="s">
        <v>1079</v>
      </c>
      <c r="Y423" s="5"/>
      <c r="Z423" s="5" t="str">
        <f>HYPERLINK("https://knigipp.ru/api/getInfo/image/163c7ac1-c1c1-11ee-a25a-00155d82e908")</f>
        <v>https://knigipp.ru/api/getInfo/image/163c7ac1-c1c1-11ee-a25a-00155d82e908</v>
      </c>
      <c r="AA423" s="33">
        <v>160</v>
      </c>
      <c r="AB423" s="5" t="s">
        <v>1768</v>
      </c>
      <c r="AC423" s="5" t="s">
        <v>86</v>
      </c>
      <c r="AD423" s="5"/>
      <c r="AE423" s="5" t="s">
        <v>49</v>
      </c>
      <c r="AF423" s="5"/>
      <c r="AG423" s="5"/>
      <c r="AH423" s="5" t="s">
        <v>1757</v>
      </c>
    </row>
    <row r="424" spans="2:34" ht="21" customHeight="1" outlineLevel="5" x14ac:dyDescent="0.2">
      <c r="B424" s="4">
        <v>295</v>
      </c>
      <c r="C424" s="5" t="s">
        <v>1769</v>
      </c>
      <c r="D424" s="5" t="s">
        <v>1770</v>
      </c>
      <c r="E424" s="6" t="s">
        <v>1771</v>
      </c>
      <c r="F424" s="10"/>
      <c r="G424" s="11" t="s">
        <v>1772</v>
      </c>
      <c r="H424" s="12">
        <v>10</v>
      </c>
      <c r="I424" s="13" t="s">
        <v>41</v>
      </c>
      <c r="J424" s="13"/>
      <c r="K424" s="13"/>
      <c r="L424" s="4">
        <v>1</v>
      </c>
      <c r="M424" s="14">
        <f>347*(1-P3/100)</f>
        <v>347</v>
      </c>
      <c r="N424" s="15"/>
      <c r="O424" s="13">
        <f t="shared" si="6"/>
        <v>0</v>
      </c>
      <c r="P424" s="22">
        <f>0.411*N424</f>
        <v>0</v>
      </c>
      <c r="Q424" s="23">
        <f>0.00067*N424</f>
        <v>0</v>
      </c>
      <c r="R424" s="24"/>
      <c r="S424" s="25" t="s">
        <v>1773</v>
      </c>
      <c r="T424" s="25" t="s">
        <v>94</v>
      </c>
      <c r="U424" s="5"/>
      <c r="V424" s="5"/>
      <c r="W424" s="5" t="s">
        <v>46</v>
      </c>
      <c r="X424" s="5"/>
      <c r="Y424" s="5"/>
      <c r="Z424" s="5" t="str">
        <f>HYPERLINK("https://knigipp.ru/api/getInfo/image/6c67dd96-6973-11ed-a22a-00155d82e902")</f>
        <v>https://knigipp.ru/api/getInfo/image/6c67dd96-6973-11ed-a22a-00155d82e902</v>
      </c>
      <c r="AA424" s="33">
        <v>160</v>
      </c>
      <c r="AB424" s="5" t="s">
        <v>1768</v>
      </c>
      <c r="AC424" s="5" t="s">
        <v>86</v>
      </c>
      <c r="AD424" s="5"/>
      <c r="AE424" s="5" t="s">
        <v>49</v>
      </c>
      <c r="AF424" s="5"/>
      <c r="AG424" s="5"/>
      <c r="AH424" s="5" t="s">
        <v>1757</v>
      </c>
    </row>
    <row r="425" spans="2:34" ht="21" customHeight="1" outlineLevel="5" x14ac:dyDescent="0.2">
      <c r="B425" s="4">
        <v>296</v>
      </c>
      <c r="C425" s="5" t="s">
        <v>1774</v>
      </c>
      <c r="D425" s="5" t="s">
        <v>1775</v>
      </c>
      <c r="E425" s="6" t="s">
        <v>1776</v>
      </c>
      <c r="F425" s="10"/>
      <c r="G425" s="11" t="s">
        <v>1761</v>
      </c>
      <c r="H425" s="12">
        <v>10</v>
      </c>
      <c r="I425" s="13" t="s">
        <v>41</v>
      </c>
      <c r="J425" s="13"/>
      <c r="K425" s="13"/>
      <c r="L425" s="4">
        <v>1</v>
      </c>
      <c r="M425" s="14">
        <f>347*(1-P3/100)</f>
        <v>347</v>
      </c>
      <c r="N425" s="15"/>
      <c r="O425" s="13">
        <f t="shared" si="6"/>
        <v>0</v>
      </c>
      <c r="P425" s="22">
        <f>0.405*N425</f>
        <v>0</v>
      </c>
      <c r="Q425" s="23">
        <f>0.00062*N425</f>
        <v>0</v>
      </c>
      <c r="R425" s="24"/>
      <c r="S425" s="25" t="s">
        <v>1777</v>
      </c>
      <c r="T425" s="25" t="s">
        <v>94</v>
      </c>
      <c r="U425" s="5"/>
      <c r="V425" s="5"/>
      <c r="W425" s="5" t="s">
        <v>46</v>
      </c>
      <c r="X425" s="5"/>
      <c r="Y425" s="5"/>
      <c r="Z425" s="5" t="str">
        <f>HYPERLINK("https://knigipp.ru/api/getInfo/image/beee16fc-46a8-11eb-a25e-ac1f6b442184")</f>
        <v>https://knigipp.ru/api/getInfo/image/beee16fc-46a8-11eb-a25e-ac1f6b442184</v>
      </c>
      <c r="AA425" s="33">
        <v>160</v>
      </c>
      <c r="AB425" s="5"/>
      <c r="AC425" s="5" t="s">
        <v>86</v>
      </c>
      <c r="AD425" s="5"/>
      <c r="AE425" s="5" t="s">
        <v>49</v>
      </c>
      <c r="AF425" s="5"/>
      <c r="AG425" s="5"/>
      <c r="AH425" s="5" t="s">
        <v>1757</v>
      </c>
    </row>
    <row r="426" spans="2:34" ht="21" customHeight="1" outlineLevel="5" x14ac:dyDescent="0.2">
      <c r="B426" s="4">
        <v>297</v>
      </c>
      <c r="C426" s="5" t="s">
        <v>1778</v>
      </c>
      <c r="D426" s="5" t="s">
        <v>1779</v>
      </c>
      <c r="E426" s="6" t="s">
        <v>1780</v>
      </c>
      <c r="F426" s="10"/>
      <c r="G426" s="11" t="s">
        <v>1772</v>
      </c>
      <c r="H426" s="12">
        <v>10</v>
      </c>
      <c r="I426" s="13" t="s">
        <v>41</v>
      </c>
      <c r="J426" s="13"/>
      <c r="K426" s="13"/>
      <c r="L426" s="4">
        <v>1</v>
      </c>
      <c r="M426" s="14">
        <f>347*(1-P3/100)</f>
        <v>347</v>
      </c>
      <c r="N426" s="15"/>
      <c r="O426" s="13">
        <f t="shared" si="6"/>
        <v>0</v>
      </c>
      <c r="P426" s="22">
        <f>0.412*N426</f>
        <v>0</v>
      </c>
      <c r="Q426" s="23">
        <f>0.00059*N426</f>
        <v>0</v>
      </c>
      <c r="R426" s="24"/>
      <c r="S426" s="25" t="s">
        <v>1781</v>
      </c>
      <c r="T426" s="25" t="s">
        <v>94</v>
      </c>
      <c r="U426" s="5"/>
      <c r="V426" s="5"/>
      <c r="W426" s="5" t="s">
        <v>46</v>
      </c>
      <c r="X426" s="5"/>
      <c r="Y426" s="5"/>
      <c r="Z426" s="5" t="str">
        <f>HYPERLINK("https://knigipp.ru/api/getInfo/image/42e5638c-6973-11ed-a22a-00155d82e902")</f>
        <v>https://knigipp.ru/api/getInfo/image/42e5638c-6973-11ed-a22a-00155d82e902</v>
      </c>
      <c r="AA426" s="33">
        <v>160</v>
      </c>
      <c r="AB426" s="5" t="s">
        <v>1768</v>
      </c>
      <c r="AC426" s="5" t="s">
        <v>86</v>
      </c>
      <c r="AD426" s="5"/>
      <c r="AE426" s="5" t="s">
        <v>49</v>
      </c>
      <c r="AF426" s="5"/>
      <c r="AG426" s="5"/>
      <c r="AH426" s="5" t="s">
        <v>1757</v>
      </c>
    </row>
    <row r="427" spans="2:34" ht="21" customHeight="1" outlineLevel="5" x14ac:dyDescent="0.2">
      <c r="B427" s="4">
        <v>298</v>
      </c>
      <c r="C427" s="5" t="s">
        <v>1782</v>
      </c>
      <c r="D427" s="5" t="s">
        <v>1783</v>
      </c>
      <c r="E427" s="6" t="s">
        <v>1784</v>
      </c>
      <c r="F427" s="10"/>
      <c r="G427" s="11" t="s">
        <v>1761</v>
      </c>
      <c r="H427" s="12">
        <v>10</v>
      </c>
      <c r="I427" s="13" t="s">
        <v>41</v>
      </c>
      <c r="J427" s="13"/>
      <c r="K427" s="13"/>
      <c r="L427" s="4">
        <v>1</v>
      </c>
      <c r="M427" s="14">
        <f>347*(1-P3/100)</f>
        <v>347</v>
      </c>
      <c r="N427" s="15"/>
      <c r="O427" s="13">
        <f t="shared" si="6"/>
        <v>0</v>
      </c>
      <c r="P427" s="22">
        <f>0.405*N427</f>
        <v>0</v>
      </c>
      <c r="Q427" s="23">
        <f>0.00062*N427</f>
        <v>0</v>
      </c>
      <c r="R427" s="24"/>
      <c r="S427" s="25" t="s">
        <v>1785</v>
      </c>
      <c r="T427" s="25" t="s">
        <v>94</v>
      </c>
      <c r="U427" s="5"/>
      <c r="V427" s="5"/>
      <c r="W427" s="5" t="s">
        <v>46</v>
      </c>
      <c r="X427" s="5"/>
      <c r="Y427" s="5"/>
      <c r="Z427" s="5" t="str">
        <f>HYPERLINK("https://knigipp.ru/api/getInfo/image/67203f71-46a8-11eb-a25e-ac1f6b442184")</f>
        <v>https://knigipp.ru/api/getInfo/image/67203f71-46a8-11eb-a25e-ac1f6b442184</v>
      </c>
      <c r="AA427" s="33">
        <v>160</v>
      </c>
      <c r="AB427" s="5"/>
      <c r="AC427" s="5" t="s">
        <v>86</v>
      </c>
      <c r="AD427" s="5"/>
      <c r="AE427" s="5" t="s">
        <v>49</v>
      </c>
      <c r="AF427" s="5"/>
      <c r="AG427" s="5"/>
      <c r="AH427" s="5" t="s">
        <v>1757</v>
      </c>
    </row>
    <row r="428" spans="2:34" ht="21" customHeight="1" outlineLevel="5" x14ac:dyDescent="0.2">
      <c r="B428" s="4">
        <v>299</v>
      </c>
      <c r="C428" s="5" t="s">
        <v>1786</v>
      </c>
      <c r="D428" s="5" t="s">
        <v>1787</v>
      </c>
      <c r="E428" s="6" t="s">
        <v>1788</v>
      </c>
      <c r="F428" s="10"/>
      <c r="G428" s="11" t="s">
        <v>1789</v>
      </c>
      <c r="H428" s="12">
        <v>10</v>
      </c>
      <c r="I428" s="13" t="s">
        <v>41</v>
      </c>
      <c r="J428" s="13"/>
      <c r="K428" s="13"/>
      <c r="L428" s="4">
        <v>1</v>
      </c>
      <c r="M428" s="14">
        <f>347*(1-P3/100)</f>
        <v>347</v>
      </c>
      <c r="N428" s="15"/>
      <c r="O428" s="13">
        <f t="shared" si="6"/>
        <v>0</v>
      </c>
      <c r="P428" s="13">
        <v>0</v>
      </c>
      <c r="Q428" s="13">
        <v>0</v>
      </c>
      <c r="R428" s="24"/>
      <c r="S428" s="25" t="s">
        <v>1790</v>
      </c>
      <c r="T428" s="25" t="s">
        <v>94</v>
      </c>
      <c r="U428" s="5"/>
      <c r="V428" s="5"/>
      <c r="W428" s="5" t="s">
        <v>46</v>
      </c>
      <c r="X428" s="5" t="s">
        <v>1079</v>
      </c>
      <c r="Y428" s="5"/>
      <c r="Z428" s="5" t="str">
        <f>HYPERLINK("https://knigipp.ru/api/getInfo/image/ed1b9c84-c1c0-11ee-a25a-00155d82e908")</f>
        <v>https://knigipp.ru/api/getInfo/image/ed1b9c84-c1c0-11ee-a25a-00155d82e908</v>
      </c>
      <c r="AA428" s="33">
        <v>160</v>
      </c>
      <c r="AB428" s="5" t="s">
        <v>1768</v>
      </c>
      <c r="AC428" s="5" t="s">
        <v>86</v>
      </c>
      <c r="AD428" s="5"/>
      <c r="AE428" s="5" t="s">
        <v>49</v>
      </c>
      <c r="AF428" s="5"/>
      <c r="AG428" s="5"/>
      <c r="AH428" s="5" t="s">
        <v>1757</v>
      </c>
    </row>
    <row r="429" spans="2:34" ht="21" customHeight="1" outlineLevel="5" x14ac:dyDescent="0.2">
      <c r="B429" s="4">
        <v>300</v>
      </c>
      <c r="C429" s="5" t="s">
        <v>1791</v>
      </c>
      <c r="D429" s="5" t="s">
        <v>1792</v>
      </c>
      <c r="E429" s="6" t="s">
        <v>1793</v>
      </c>
      <c r="F429" s="10"/>
      <c r="G429" s="11" t="s">
        <v>1772</v>
      </c>
      <c r="H429" s="12">
        <v>10</v>
      </c>
      <c r="I429" s="13" t="s">
        <v>41</v>
      </c>
      <c r="J429" s="13"/>
      <c r="K429" s="13"/>
      <c r="L429" s="4">
        <v>1</v>
      </c>
      <c r="M429" s="14">
        <f>347*(1-P3/100)</f>
        <v>347</v>
      </c>
      <c r="N429" s="15"/>
      <c r="O429" s="13">
        <f t="shared" si="6"/>
        <v>0</v>
      </c>
      <c r="P429" s="22">
        <f>0.404*N429</f>
        <v>0</v>
      </c>
      <c r="Q429" s="23">
        <f>0.00063*N429</f>
        <v>0</v>
      </c>
      <c r="R429" s="24"/>
      <c r="S429" s="25" t="s">
        <v>1794</v>
      </c>
      <c r="T429" s="25" t="s">
        <v>94</v>
      </c>
      <c r="U429" s="5"/>
      <c r="V429" s="5"/>
      <c r="W429" s="5" t="s">
        <v>46</v>
      </c>
      <c r="X429" s="5"/>
      <c r="Y429" s="5"/>
      <c r="Z429" s="5" t="str">
        <f>HYPERLINK("https://knigipp.ru/api/getInfo/image/e09e1a38-6973-11ed-a22a-00155d82e902")</f>
        <v>https://knigipp.ru/api/getInfo/image/e09e1a38-6973-11ed-a22a-00155d82e902</v>
      </c>
      <c r="AA429" s="33">
        <v>160</v>
      </c>
      <c r="AB429" s="5" t="s">
        <v>1768</v>
      </c>
      <c r="AC429" s="5" t="s">
        <v>86</v>
      </c>
      <c r="AD429" s="5"/>
      <c r="AE429" s="5" t="s">
        <v>49</v>
      </c>
      <c r="AF429" s="5"/>
      <c r="AG429" s="5"/>
      <c r="AH429" s="5" t="s">
        <v>1757</v>
      </c>
    </row>
    <row r="430" spans="2:34" ht="21" customHeight="1" outlineLevel="5" x14ac:dyDescent="0.2">
      <c r="B430" s="4">
        <v>301</v>
      </c>
      <c r="C430" s="5" t="s">
        <v>1795</v>
      </c>
      <c r="D430" s="5" t="s">
        <v>1796</v>
      </c>
      <c r="E430" s="6" t="s">
        <v>1797</v>
      </c>
      <c r="F430" s="10"/>
      <c r="G430" s="11" t="s">
        <v>1798</v>
      </c>
      <c r="H430" s="12">
        <v>10</v>
      </c>
      <c r="I430" s="13" t="s">
        <v>41</v>
      </c>
      <c r="J430" s="13"/>
      <c r="K430" s="13"/>
      <c r="L430" s="4">
        <v>1</v>
      </c>
      <c r="M430" s="14">
        <f>347*(1-P3/100)</f>
        <v>347</v>
      </c>
      <c r="N430" s="15"/>
      <c r="O430" s="13">
        <f t="shared" si="6"/>
        <v>0</v>
      </c>
      <c r="P430" s="22">
        <f>0.404*N430</f>
        <v>0</v>
      </c>
      <c r="Q430" s="23">
        <f>0.00063*N430</f>
        <v>0</v>
      </c>
      <c r="R430" s="24"/>
      <c r="S430" s="25" t="s">
        <v>1799</v>
      </c>
      <c r="T430" s="25" t="s">
        <v>94</v>
      </c>
      <c r="U430" s="5"/>
      <c r="V430" s="5"/>
      <c r="W430" s="5" t="s">
        <v>46</v>
      </c>
      <c r="X430" s="5" t="s">
        <v>1800</v>
      </c>
      <c r="Y430" s="5"/>
      <c r="Z430" s="5" t="str">
        <f>HYPERLINK("https://knigipp.ru/api/getInfo/image/0a9eacf1-19a8-11ee-a23b-00155d82e902")</f>
        <v>https://knigipp.ru/api/getInfo/image/0a9eacf1-19a8-11ee-a23b-00155d82e902</v>
      </c>
      <c r="AA430" s="33">
        <v>160</v>
      </c>
      <c r="AB430" s="5" t="s">
        <v>598</v>
      </c>
      <c r="AC430" s="5" t="s">
        <v>86</v>
      </c>
      <c r="AD430" s="5"/>
      <c r="AE430" s="5" t="s">
        <v>49</v>
      </c>
      <c r="AF430" s="5"/>
      <c r="AG430" s="5"/>
      <c r="AH430" s="5" t="s">
        <v>1757</v>
      </c>
    </row>
    <row r="431" spans="2:34" ht="21" customHeight="1" outlineLevel="5" x14ac:dyDescent="0.2">
      <c r="B431" s="4">
        <v>302</v>
      </c>
      <c r="C431" s="5" t="s">
        <v>1801</v>
      </c>
      <c r="D431" s="5" t="s">
        <v>1802</v>
      </c>
      <c r="E431" s="6" t="s">
        <v>1803</v>
      </c>
      <c r="F431" s="10"/>
      <c r="G431" s="11" t="s">
        <v>1772</v>
      </c>
      <c r="H431" s="12">
        <v>10</v>
      </c>
      <c r="I431" s="13" t="s">
        <v>41</v>
      </c>
      <c r="J431" s="13"/>
      <c r="K431" s="13"/>
      <c r="L431" s="4">
        <v>1</v>
      </c>
      <c r="M431" s="14">
        <f>347*(1-P3/100)</f>
        <v>347</v>
      </c>
      <c r="N431" s="15"/>
      <c r="O431" s="13">
        <f t="shared" si="6"/>
        <v>0</v>
      </c>
      <c r="P431" s="22">
        <f>0.405*N431</f>
        <v>0</v>
      </c>
      <c r="Q431" s="23">
        <f>0.00067*N431</f>
        <v>0</v>
      </c>
      <c r="R431" s="24"/>
      <c r="S431" s="25" t="s">
        <v>1804</v>
      </c>
      <c r="T431" s="25" t="s">
        <v>94</v>
      </c>
      <c r="U431" s="5"/>
      <c r="V431" s="5"/>
      <c r="W431" s="5" t="s">
        <v>46</v>
      </c>
      <c r="X431" s="5"/>
      <c r="Y431" s="5"/>
      <c r="Z431" s="5" t="str">
        <f>HYPERLINK("https://knigipp.ru/api/getInfo/image/b189efa8-6973-11ed-a22a-00155d82e902")</f>
        <v>https://knigipp.ru/api/getInfo/image/b189efa8-6973-11ed-a22a-00155d82e902</v>
      </c>
      <c r="AA431" s="33">
        <v>160</v>
      </c>
      <c r="AB431" s="5" t="s">
        <v>1768</v>
      </c>
      <c r="AC431" s="5" t="s">
        <v>86</v>
      </c>
      <c r="AD431" s="5"/>
      <c r="AE431" s="5" t="s">
        <v>49</v>
      </c>
      <c r="AF431" s="5"/>
      <c r="AG431" s="5"/>
      <c r="AH431" s="5" t="s">
        <v>1757</v>
      </c>
    </row>
    <row r="432" spans="2:34" ht="21" customHeight="1" outlineLevel="5" x14ac:dyDescent="0.2">
      <c r="B432" s="4">
        <v>303</v>
      </c>
      <c r="C432" s="5" t="s">
        <v>1805</v>
      </c>
      <c r="D432" s="5" t="s">
        <v>1806</v>
      </c>
      <c r="E432" s="6" t="s">
        <v>1807</v>
      </c>
      <c r="F432" s="10"/>
      <c r="G432" s="11" t="s">
        <v>1798</v>
      </c>
      <c r="H432" s="12">
        <v>10</v>
      </c>
      <c r="I432" s="13" t="s">
        <v>41</v>
      </c>
      <c r="J432" s="13"/>
      <c r="K432" s="13"/>
      <c r="L432" s="4">
        <v>1</v>
      </c>
      <c r="M432" s="14">
        <f>347*(1-P3/100)</f>
        <v>347</v>
      </c>
      <c r="N432" s="15"/>
      <c r="O432" s="13">
        <f t="shared" si="6"/>
        <v>0</v>
      </c>
      <c r="P432" s="22">
        <f>0.416*N432</f>
        <v>0</v>
      </c>
      <c r="Q432" s="23">
        <f>0.00067*N432</f>
        <v>0</v>
      </c>
      <c r="R432" s="24"/>
      <c r="S432" s="25" t="s">
        <v>1808</v>
      </c>
      <c r="T432" s="25" t="s">
        <v>94</v>
      </c>
      <c r="U432" s="5"/>
      <c r="V432" s="5"/>
      <c r="W432" s="5" t="s">
        <v>46</v>
      </c>
      <c r="X432" s="5" t="s">
        <v>1800</v>
      </c>
      <c r="Y432" s="5"/>
      <c r="Z432" s="5" t="str">
        <f>HYPERLINK("https://knigipp.ru/api/getInfo/image/30ef5059-19a8-11ee-a23b-00155d82e902")</f>
        <v>https://knigipp.ru/api/getInfo/image/30ef5059-19a8-11ee-a23b-00155d82e902</v>
      </c>
      <c r="AA432" s="33">
        <v>160</v>
      </c>
      <c r="AB432" s="5" t="s">
        <v>598</v>
      </c>
      <c r="AC432" s="5" t="s">
        <v>86</v>
      </c>
      <c r="AD432" s="5"/>
      <c r="AE432" s="5" t="s">
        <v>49</v>
      </c>
      <c r="AF432" s="5"/>
      <c r="AG432" s="5"/>
      <c r="AH432" s="5" t="s">
        <v>1757</v>
      </c>
    </row>
    <row r="433" spans="2:34" ht="21" customHeight="1" outlineLevel="5" x14ac:dyDescent="0.2">
      <c r="B433" s="4">
        <v>304</v>
      </c>
      <c r="C433" s="5" t="s">
        <v>1809</v>
      </c>
      <c r="D433" s="5" t="s">
        <v>1810</v>
      </c>
      <c r="E433" s="6" t="s">
        <v>1811</v>
      </c>
      <c r="F433" s="10"/>
      <c r="G433" s="11" t="s">
        <v>1761</v>
      </c>
      <c r="H433" s="12">
        <v>10</v>
      </c>
      <c r="I433" s="13" t="s">
        <v>41</v>
      </c>
      <c r="J433" s="13"/>
      <c r="K433" s="13"/>
      <c r="L433" s="4">
        <v>1</v>
      </c>
      <c r="M433" s="14">
        <f>347*(1-P3/100)</f>
        <v>347</v>
      </c>
      <c r="N433" s="15"/>
      <c r="O433" s="13">
        <f t="shared" si="6"/>
        <v>0</v>
      </c>
      <c r="P433" s="22">
        <f>0.404*N433</f>
        <v>0</v>
      </c>
      <c r="Q433" s="23">
        <f>0.00067*N433</f>
        <v>0</v>
      </c>
      <c r="R433" s="24"/>
      <c r="S433" s="25" t="s">
        <v>1812</v>
      </c>
      <c r="T433" s="25" t="s">
        <v>94</v>
      </c>
      <c r="U433" s="5"/>
      <c r="V433" s="5"/>
      <c r="W433" s="5" t="s">
        <v>46</v>
      </c>
      <c r="X433" s="5"/>
      <c r="Y433" s="5"/>
      <c r="Z433" s="5" t="str">
        <f>HYPERLINK("https://knigipp.ru/api/getInfo/image/977ead69-46a7-11eb-a25e-ac1f6b442184")</f>
        <v>https://knigipp.ru/api/getInfo/image/977ead69-46a7-11eb-a25e-ac1f6b442184</v>
      </c>
      <c r="AA433" s="33">
        <v>160</v>
      </c>
      <c r="AB433" s="5"/>
      <c r="AC433" s="5" t="s">
        <v>86</v>
      </c>
      <c r="AD433" s="5"/>
      <c r="AE433" s="5" t="s">
        <v>49</v>
      </c>
      <c r="AF433" s="5"/>
      <c r="AG433" s="5"/>
      <c r="AH433" s="5" t="s">
        <v>1757</v>
      </c>
    </row>
    <row r="434" spans="2:34" ht="21" customHeight="1" outlineLevel="5" x14ac:dyDescent="0.2">
      <c r="B434" s="4">
        <v>305</v>
      </c>
      <c r="C434" s="5" t="s">
        <v>1813</v>
      </c>
      <c r="D434" s="5" t="s">
        <v>1814</v>
      </c>
      <c r="E434" s="6" t="s">
        <v>1815</v>
      </c>
      <c r="F434" s="10"/>
      <c r="G434" s="11" t="s">
        <v>1816</v>
      </c>
      <c r="H434" s="12">
        <v>10</v>
      </c>
      <c r="I434" s="13" t="s">
        <v>41</v>
      </c>
      <c r="J434" s="13"/>
      <c r="K434" s="13"/>
      <c r="L434" s="4">
        <v>1</v>
      </c>
      <c r="M434" s="14">
        <f>347*(1-P3/100)</f>
        <v>347</v>
      </c>
      <c r="N434" s="15"/>
      <c r="O434" s="13">
        <f t="shared" si="6"/>
        <v>0</v>
      </c>
      <c r="P434" s="22">
        <f>0.412*N434</f>
        <v>0</v>
      </c>
      <c r="Q434" s="23">
        <f>0.00059*N434</f>
        <v>0</v>
      </c>
      <c r="R434" s="24"/>
      <c r="S434" s="25" t="s">
        <v>1817</v>
      </c>
      <c r="T434" s="25" t="s">
        <v>94</v>
      </c>
      <c r="U434" s="5"/>
      <c r="V434" s="5"/>
      <c r="W434" s="5" t="s">
        <v>46</v>
      </c>
      <c r="X434" s="5"/>
      <c r="Y434" s="5"/>
      <c r="Z434" s="5" t="str">
        <f>HYPERLINK("https://knigipp.ru/api/getInfo/image/a8f2fa32-9281-11ed-a22c-00155d82e902")</f>
        <v>https://knigipp.ru/api/getInfo/image/a8f2fa32-9281-11ed-a22c-00155d82e902</v>
      </c>
      <c r="AA434" s="33">
        <v>160</v>
      </c>
      <c r="AB434" s="5"/>
      <c r="AC434" s="5" t="s">
        <v>86</v>
      </c>
      <c r="AD434" s="5"/>
      <c r="AE434" s="5" t="s">
        <v>49</v>
      </c>
      <c r="AF434" s="5"/>
      <c r="AG434" s="5"/>
      <c r="AH434" s="5" t="s">
        <v>1757</v>
      </c>
    </row>
    <row r="435" spans="2:34" ht="22.95" customHeight="1" outlineLevel="4" x14ac:dyDescent="0.2">
      <c r="B435" s="75" t="s">
        <v>1818</v>
      </c>
      <c r="C435" s="75"/>
      <c r="D435" s="75"/>
    </row>
    <row r="436" spans="2:34" ht="21" customHeight="1" outlineLevel="5" x14ac:dyDescent="0.2">
      <c r="B436" s="4">
        <v>306</v>
      </c>
      <c r="C436" s="5" t="s">
        <v>1819</v>
      </c>
      <c r="D436" s="5" t="s">
        <v>1820</v>
      </c>
      <c r="E436" s="6" t="s">
        <v>1821</v>
      </c>
      <c r="F436" s="10"/>
      <c r="G436" s="11" t="s">
        <v>1822</v>
      </c>
      <c r="H436" s="12">
        <v>10</v>
      </c>
      <c r="I436" s="13" t="s">
        <v>41</v>
      </c>
      <c r="J436" s="13"/>
      <c r="K436" s="13"/>
      <c r="L436" s="4">
        <v>3</v>
      </c>
      <c r="M436" s="14">
        <f>367*(1-P3/100)</f>
        <v>367</v>
      </c>
      <c r="N436" s="15"/>
      <c r="O436" s="13">
        <f t="shared" ref="O436:O444" si="7">M436*N436</f>
        <v>0</v>
      </c>
      <c r="P436" s="22">
        <f>0.278*N436</f>
        <v>0</v>
      </c>
      <c r="Q436" s="23">
        <f>0.00046*N436</f>
        <v>0</v>
      </c>
      <c r="R436" s="24"/>
      <c r="S436" s="25" t="s">
        <v>1823</v>
      </c>
      <c r="T436" s="25" t="s">
        <v>94</v>
      </c>
      <c r="U436" s="5"/>
      <c r="V436" s="5" t="s">
        <v>1824</v>
      </c>
      <c r="W436" s="5" t="s">
        <v>46</v>
      </c>
      <c r="X436" s="5"/>
      <c r="Y436" s="5"/>
      <c r="Z436" s="5" t="str">
        <f>HYPERLINK("https://knigipp.ru/api/getInfo/image/2eff64a4-0ec1-11f0-a279-00155d82e908")</f>
        <v>https://knigipp.ru/api/getInfo/image/2eff64a4-0ec1-11f0-a279-00155d82e908</v>
      </c>
      <c r="AA436" s="33">
        <v>96</v>
      </c>
      <c r="AB436" s="5" t="s">
        <v>1359</v>
      </c>
      <c r="AC436" s="5" t="s">
        <v>86</v>
      </c>
      <c r="AD436" s="5"/>
      <c r="AE436" s="5" t="s">
        <v>49</v>
      </c>
      <c r="AF436" s="5"/>
      <c r="AG436" s="5"/>
      <c r="AH436" s="5" t="s">
        <v>1825</v>
      </c>
    </row>
    <row r="437" spans="2:34" ht="21" customHeight="1" outlineLevel="5" x14ac:dyDescent="0.2">
      <c r="B437" s="4">
        <v>307</v>
      </c>
      <c r="C437" s="5" t="s">
        <v>1826</v>
      </c>
      <c r="D437" s="5" t="s">
        <v>1827</v>
      </c>
      <c r="E437" s="6" t="s">
        <v>1828</v>
      </c>
      <c r="F437" s="10"/>
      <c r="G437" s="11" t="s">
        <v>1822</v>
      </c>
      <c r="H437" s="12">
        <v>10</v>
      </c>
      <c r="I437" s="13" t="s">
        <v>371</v>
      </c>
      <c r="J437" s="13"/>
      <c r="K437" s="13"/>
      <c r="L437" s="4">
        <v>3</v>
      </c>
      <c r="M437" s="14">
        <f>367*(1-P3/100)</f>
        <v>367</v>
      </c>
      <c r="N437" s="15"/>
      <c r="O437" s="13">
        <f t="shared" si="7"/>
        <v>0</v>
      </c>
      <c r="P437" s="32">
        <f>0.28*N437</f>
        <v>0</v>
      </c>
      <c r="Q437" s="23">
        <f>0.00069*N437</f>
        <v>0</v>
      </c>
      <c r="R437" s="24"/>
      <c r="S437" s="25" t="s">
        <v>1829</v>
      </c>
      <c r="T437" s="25" t="s">
        <v>94</v>
      </c>
      <c r="U437" s="5"/>
      <c r="V437" s="5" t="s">
        <v>1830</v>
      </c>
      <c r="W437" s="5" t="s">
        <v>46</v>
      </c>
      <c r="X437" s="5" t="s">
        <v>1831</v>
      </c>
      <c r="Y437" s="5"/>
      <c r="Z437" s="5" t="str">
        <f>HYPERLINK("https://knigipp.ru/api/getInfo/image/ff1e5b8e-877e-11ee-a248-00155d82e902")</f>
        <v>https://knigipp.ru/api/getInfo/image/ff1e5b8e-877e-11ee-a248-00155d82e902</v>
      </c>
      <c r="AA437" s="33">
        <v>96</v>
      </c>
      <c r="AB437" s="5" t="s">
        <v>1359</v>
      </c>
      <c r="AC437" s="5" t="s">
        <v>86</v>
      </c>
      <c r="AD437" s="5"/>
      <c r="AE437" s="5" t="s">
        <v>49</v>
      </c>
      <c r="AF437" s="5"/>
      <c r="AG437" s="5"/>
      <c r="AH437" s="5" t="s">
        <v>1825</v>
      </c>
    </row>
    <row r="438" spans="2:34" ht="21" customHeight="1" outlineLevel="5" x14ac:dyDescent="0.2">
      <c r="B438" s="4">
        <v>308</v>
      </c>
      <c r="C438" s="5" t="s">
        <v>1832</v>
      </c>
      <c r="D438" s="5" t="s">
        <v>1833</v>
      </c>
      <c r="E438" s="6" t="s">
        <v>1834</v>
      </c>
      <c r="F438" s="10"/>
      <c r="G438" s="11" t="s">
        <v>1822</v>
      </c>
      <c r="H438" s="12">
        <v>10</v>
      </c>
      <c r="I438" s="13" t="s">
        <v>41</v>
      </c>
      <c r="J438" s="13"/>
      <c r="K438" s="13"/>
      <c r="L438" s="4">
        <v>3</v>
      </c>
      <c r="M438" s="14">
        <f>367*(1-P3/100)</f>
        <v>367</v>
      </c>
      <c r="N438" s="15"/>
      <c r="O438" s="13">
        <f t="shared" si="7"/>
        <v>0</v>
      </c>
      <c r="P438" s="22">
        <f>0.273*N438</f>
        <v>0</v>
      </c>
      <c r="Q438" s="23">
        <f>0.00043*N438</f>
        <v>0</v>
      </c>
      <c r="R438" s="24"/>
      <c r="S438" s="25" t="s">
        <v>1835</v>
      </c>
      <c r="T438" s="25" t="s">
        <v>94</v>
      </c>
      <c r="U438" s="5"/>
      <c r="V438" s="5" t="s">
        <v>1836</v>
      </c>
      <c r="W438" s="5" t="s">
        <v>46</v>
      </c>
      <c r="X438" s="5"/>
      <c r="Y438" s="5"/>
      <c r="Z438" s="5" t="str">
        <f>HYPERLINK("https://knigipp.ru/api/getInfo/image/bd3d9ed5-0ec0-11f0-a279-00155d82e908")</f>
        <v>https://knigipp.ru/api/getInfo/image/bd3d9ed5-0ec0-11f0-a279-00155d82e908</v>
      </c>
      <c r="AA438" s="33">
        <v>96</v>
      </c>
      <c r="AB438" s="5" t="s">
        <v>1359</v>
      </c>
      <c r="AC438" s="5" t="s">
        <v>86</v>
      </c>
      <c r="AD438" s="5"/>
      <c r="AE438" s="5" t="s">
        <v>49</v>
      </c>
      <c r="AF438" s="5"/>
      <c r="AG438" s="5"/>
      <c r="AH438" s="5" t="s">
        <v>1825</v>
      </c>
    </row>
    <row r="439" spans="2:34" ht="21" customHeight="1" outlineLevel="5" x14ac:dyDescent="0.2">
      <c r="B439" s="4">
        <v>309</v>
      </c>
      <c r="C439" s="5" t="s">
        <v>1837</v>
      </c>
      <c r="D439" s="5" t="s">
        <v>1838</v>
      </c>
      <c r="E439" s="6" t="s">
        <v>1839</v>
      </c>
      <c r="F439" s="10"/>
      <c r="G439" s="11" t="s">
        <v>1822</v>
      </c>
      <c r="H439" s="12">
        <v>10</v>
      </c>
      <c r="I439" s="13" t="s">
        <v>41</v>
      </c>
      <c r="J439" s="13"/>
      <c r="K439" s="13"/>
      <c r="L439" s="4">
        <v>3</v>
      </c>
      <c r="M439" s="14">
        <f>367*(1-P3/100)</f>
        <v>367</v>
      </c>
      <c r="N439" s="15"/>
      <c r="O439" s="13">
        <f t="shared" si="7"/>
        <v>0</v>
      </c>
      <c r="P439" s="32">
        <f>0.28*N439</f>
        <v>0</v>
      </c>
      <c r="Q439" s="23">
        <f>0.00069*N439</f>
        <v>0</v>
      </c>
      <c r="R439" s="24"/>
      <c r="S439" s="25" t="s">
        <v>1840</v>
      </c>
      <c r="T439" s="25" t="s">
        <v>94</v>
      </c>
      <c r="U439" s="5"/>
      <c r="V439" s="5" t="s">
        <v>1841</v>
      </c>
      <c r="W439" s="5" t="s">
        <v>46</v>
      </c>
      <c r="X439" s="5" t="s">
        <v>1831</v>
      </c>
      <c r="Y439" s="5"/>
      <c r="Z439" s="5" t="str">
        <f>HYPERLINK("https://knigipp.ru/api/getInfo/image/3738c82f-877f-11ee-a248-00155d82e902")</f>
        <v>https://knigipp.ru/api/getInfo/image/3738c82f-877f-11ee-a248-00155d82e902</v>
      </c>
      <c r="AA439" s="33">
        <v>96</v>
      </c>
      <c r="AB439" s="5" t="s">
        <v>1359</v>
      </c>
      <c r="AC439" s="5" t="s">
        <v>86</v>
      </c>
      <c r="AD439" s="5"/>
      <c r="AE439" s="5" t="s">
        <v>49</v>
      </c>
      <c r="AF439" s="5"/>
      <c r="AG439" s="5"/>
      <c r="AH439" s="5" t="s">
        <v>1825</v>
      </c>
    </row>
    <row r="440" spans="2:34" ht="21" customHeight="1" outlineLevel="5" x14ac:dyDescent="0.2">
      <c r="B440" s="4">
        <v>310</v>
      </c>
      <c r="C440" s="5" t="s">
        <v>1842</v>
      </c>
      <c r="D440" s="5" t="s">
        <v>1843</v>
      </c>
      <c r="E440" s="6" t="s">
        <v>1844</v>
      </c>
      <c r="F440" s="10"/>
      <c r="G440" s="11" t="s">
        <v>1822</v>
      </c>
      <c r="H440" s="12">
        <v>10</v>
      </c>
      <c r="I440" s="13" t="s">
        <v>41</v>
      </c>
      <c r="J440" s="13"/>
      <c r="K440" s="13"/>
      <c r="L440" s="4">
        <v>3</v>
      </c>
      <c r="M440" s="14">
        <f>367*(1-P3/100)</f>
        <v>367</v>
      </c>
      <c r="N440" s="15"/>
      <c r="O440" s="13">
        <f t="shared" si="7"/>
        <v>0</v>
      </c>
      <c r="P440" s="22">
        <f>0.276*N440</f>
        <v>0</v>
      </c>
      <c r="Q440" s="23">
        <f>0.00058*N440</f>
        <v>0</v>
      </c>
      <c r="R440" s="24"/>
      <c r="S440" s="25" t="s">
        <v>1845</v>
      </c>
      <c r="T440" s="25" t="s">
        <v>94</v>
      </c>
      <c r="U440" s="5"/>
      <c r="V440" s="5" t="s">
        <v>1846</v>
      </c>
      <c r="W440" s="5" t="s">
        <v>46</v>
      </c>
      <c r="X440" s="5" t="s">
        <v>1847</v>
      </c>
      <c r="Y440" s="5"/>
      <c r="Z440" s="5" t="str">
        <f>HYPERLINK("https://knigipp.ru/api/getInfo/image/2e1af093-7fee-11ef-a265-00155d82e908")</f>
        <v>https://knigipp.ru/api/getInfo/image/2e1af093-7fee-11ef-a265-00155d82e908</v>
      </c>
      <c r="AA440" s="33">
        <v>96</v>
      </c>
      <c r="AB440" s="5" t="s">
        <v>1359</v>
      </c>
      <c r="AC440" s="5" t="s">
        <v>86</v>
      </c>
      <c r="AD440" s="5"/>
      <c r="AE440" s="5" t="s">
        <v>49</v>
      </c>
      <c r="AF440" s="5"/>
      <c r="AG440" s="5"/>
      <c r="AH440" s="5" t="s">
        <v>1825</v>
      </c>
    </row>
    <row r="441" spans="2:34" ht="21" customHeight="1" outlineLevel="5" x14ac:dyDescent="0.2">
      <c r="B441" s="4">
        <v>311</v>
      </c>
      <c r="C441" s="5" t="s">
        <v>1848</v>
      </c>
      <c r="D441" s="5" t="s">
        <v>1849</v>
      </c>
      <c r="E441" s="6" t="s">
        <v>1850</v>
      </c>
      <c r="F441" s="10"/>
      <c r="G441" s="11" t="s">
        <v>1822</v>
      </c>
      <c r="H441" s="12">
        <v>10</v>
      </c>
      <c r="I441" s="13" t="s">
        <v>41</v>
      </c>
      <c r="J441" s="13"/>
      <c r="K441" s="13"/>
      <c r="L441" s="4">
        <v>3</v>
      </c>
      <c r="M441" s="14">
        <f>367*(1-P3/100)</f>
        <v>367</v>
      </c>
      <c r="N441" s="15"/>
      <c r="O441" s="13">
        <f t="shared" si="7"/>
        <v>0</v>
      </c>
      <c r="P441" s="32">
        <f>0.28*N441</f>
        <v>0</v>
      </c>
      <c r="Q441" s="23">
        <f>0.00054*N441</f>
        <v>0</v>
      </c>
      <c r="R441" s="24"/>
      <c r="S441" s="25" t="s">
        <v>1851</v>
      </c>
      <c r="T441" s="25" t="s">
        <v>94</v>
      </c>
      <c r="U441" s="5"/>
      <c r="V441" s="5" t="s">
        <v>1852</v>
      </c>
      <c r="W441" s="5" t="s">
        <v>46</v>
      </c>
      <c r="X441" s="5" t="s">
        <v>1853</v>
      </c>
      <c r="Y441" s="5"/>
      <c r="Z441" s="5" t="str">
        <f>HYPERLINK("https://knigipp.ru/api/getInfo/image/06eb236a-7fee-11ef-a265-00155d82e908")</f>
        <v>https://knigipp.ru/api/getInfo/image/06eb236a-7fee-11ef-a265-00155d82e908</v>
      </c>
      <c r="AA441" s="33">
        <v>96</v>
      </c>
      <c r="AB441" s="5" t="s">
        <v>1359</v>
      </c>
      <c r="AC441" s="5" t="s">
        <v>86</v>
      </c>
      <c r="AD441" s="5"/>
      <c r="AE441" s="5" t="s">
        <v>49</v>
      </c>
      <c r="AF441" s="5"/>
      <c r="AG441" s="5"/>
      <c r="AH441" s="5" t="s">
        <v>1825</v>
      </c>
    </row>
    <row r="442" spans="2:34" ht="21" customHeight="1" outlineLevel="5" x14ac:dyDescent="0.2">
      <c r="B442" s="4">
        <v>312</v>
      </c>
      <c r="C442" s="5" t="s">
        <v>1854</v>
      </c>
      <c r="D442" s="5" t="s">
        <v>1855</v>
      </c>
      <c r="E442" s="6" t="s">
        <v>1856</v>
      </c>
      <c r="F442" s="10"/>
      <c r="G442" s="11" t="s">
        <v>1822</v>
      </c>
      <c r="H442" s="12">
        <v>10</v>
      </c>
      <c r="I442" s="13" t="s">
        <v>41</v>
      </c>
      <c r="J442" s="13"/>
      <c r="K442" s="13"/>
      <c r="L442" s="4">
        <v>3</v>
      </c>
      <c r="M442" s="14">
        <f>367*(1-P3/100)</f>
        <v>367</v>
      </c>
      <c r="N442" s="15"/>
      <c r="O442" s="13">
        <f t="shared" si="7"/>
        <v>0</v>
      </c>
      <c r="P442" s="22">
        <f>0.276*N442</f>
        <v>0</v>
      </c>
      <c r="Q442" s="23">
        <f>0.00044*N442</f>
        <v>0</v>
      </c>
      <c r="R442" s="24"/>
      <c r="S442" s="25" t="s">
        <v>1857</v>
      </c>
      <c r="T442" s="25" t="s">
        <v>94</v>
      </c>
      <c r="U442" s="5"/>
      <c r="V442" s="5" t="s">
        <v>1858</v>
      </c>
      <c r="W442" s="5" t="s">
        <v>46</v>
      </c>
      <c r="X442" s="5" t="s">
        <v>1859</v>
      </c>
      <c r="Y442" s="5"/>
      <c r="Z442" s="5" t="str">
        <f>HYPERLINK("https://knigipp.ru/api/getInfo/image/a26c6793-877e-11ee-a248-00155d82e902")</f>
        <v>https://knigipp.ru/api/getInfo/image/a26c6793-877e-11ee-a248-00155d82e902</v>
      </c>
      <c r="AA442" s="33">
        <v>96</v>
      </c>
      <c r="AB442" s="5" t="s">
        <v>1359</v>
      </c>
      <c r="AC442" s="5" t="s">
        <v>86</v>
      </c>
      <c r="AD442" s="5"/>
      <c r="AE442" s="5" t="s">
        <v>49</v>
      </c>
      <c r="AF442" s="5"/>
      <c r="AG442" s="5"/>
      <c r="AH442" s="5" t="s">
        <v>1825</v>
      </c>
    </row>
    <row r="443" spans="2:34" ht="21" customHeight="1" outlineLevel="5" x14ac:dyDescent="0.2">
      <c r="B443" s="4">
        <v>313</v>
      </c>
      <c r="C443" s="5" t="s">
        <v>1860</v>
      </c>
      <c r="D443" s="5" t="s">
        <v>1861</v>
      </c>
      <c r="E443" s="6" t="s">
        <v>1862</v>
      </c>
      <c r="F443" s="10"/>
      <c r="G443" s="11" t="s">
        <v>1822</v>
      </c>
      <c r="H443" s="12">
        <v>10</v>
      </c>
      <c r="I443" s="13" t="s">
        <v>41</v>
      </c>
      <c r="J443" s="13"/>
      <c r="K443" s="13"/>
      <c r="L443" s="4">
        <v>3</v>
      </c>
      <c r="M443" s="14">
        <f>367*(1-P3/100)</f>
        <v>367</v>
      </c>
      <c r="N443" s="15"/>
      <c r="O443" s="13">
        <f t="shared" si="7"/>
        <v>0</v>
      </c>
      <c r="P443" s="22">
        <f>0.274*N443</f>
        <v>0</v>
      </c>
      <c r="Q443" s="23">
        <f>0.00044*N443</f>
        <v>0</v>
      </c>
      <c r="R443" s="24"/>
      <c r="S443" s="25" t="s">
        <v>1863</v>
      </c>
      <c r="T443" s="25" t="s">
        <v>94</v>
      </c>
      <c r="U443" s="5"/>
      <c r="V443" s="5" t="s">
        <v>1864</v>
      </c>
      <c r="W443" s="5" t="s">
        <v>46</v>
      </c>
      <c r="X443" s="5"/>
      <c r="Y443" s="5"/>
      <c r="Z443" s="5" t="str">
        <f>HYPERLINK("https://knigipp.ru/api/getInfo/image/522e297d-0ec1-11f0-a279-00155d82e908")</f>
        <v>https://knigipp.ru/api/getInfo/image/522e297d-0ec1-11f0-a279-00155d82e908</v>
      </c>
      <c r="AA443" s="33">
        <v>96</v>
      </c>
      <c r="AB443" s="5" t="s">
        <v>1359</v>
      </c>
      <c r="AC443" s="5" t="s">
        <v>86</v>
      </c>
      <c r="AD443" s="5"/>
      <c r="AE443" s="5" t="s">
        <v>49</v>
      </c>
      <c r="AF443" s="5"/>
      <c r="AG443" s="5"/>
      <c r="AH443" s="5" t="s">
        <v>1825</v>
      </c>
    </row>
    <row r="444" spans="2:34" ht="21" customHeight="1" outlineLevel="5" x14ac:dyDescent="0.2">
      <c r="B444" s="4">
        <v>314</v>
      </c>
      <c r="C444" s="5" t="s">
        <v>1865</v>
      </c>
      <c r="D444" s="5" t="s">
        <v>1866</v>
      </c>
      <c r="E444" s="6" t="s">
        <v>1867</v>
      </c>
      <c r="F444" s="10"/>
      <c r="G444" s="11" t="s">
        <v>1822</v>
      </c>
      <c r="H444" s="12">
        <v>10</v>
      </c>
      <c r="I444" s="13" t="s">
        <v>41</v>
      </c>
      <c r="J444" s="13"/>
      <c r="K444" s="13"/>
      <c r="L444" s="4">
        <v>3</v>
      </c>
      <c r="M444" s="14">
        <f>367*(1-P3/100)</f>
        <v>367</v>
      </c>
      <c r="N444" s="15"/>
      <c r="O444" s="13">
        <f t="shared" si="7"/>
        <v>0</v>
      </c>
      <c r="P444" s="32">
        <f>0.28*N444</f>
        <v>0</v>
      </c>
      <c r="Q444" s="23">
        <f>0.00069*N444</f>
        <v>0</v>
      </c>
      <c r="R444" s="24"/>
      <c r="S444" s="25" t="s">
        <v>1868</v>
      </c>
      <c r="T444" s="25" t="s">
        <v>94</v>
      </c>
      <c r="U444" s="5"/>
      <c r="V444" s="5" t="s">
        <v>1869</v>
      </c>
      <c r="W444" s="5" t="s">
        <v>46</v>
      </c>
      <c r="X444" s="5"/>
      <c r="Y444" s="5"/>
      <c r="Z444" s="5" t="str">
        <f>HYPERLINK("https://knigipp.ru/api/getInfo/image/271d0eb0-0e40-11f0-a279-00155d82e908")</f>
        <v>https://knigipp.ru/api/getInfo/image/271d0eb0-0e40-11f0-a279-00155d82e908</v>
      </c>
      <c r="AA444" s="33">
        <v>96</v>
      </c>
      <c r="AB444" s="5" t="s">
        <v>1359</v>
      </c>
      <c r="AC444" s="5" t="s">
        <v>86</v>
      </c>
      <c r="AD444" s="5"/>
      <c r="AE444" s="5" t="s">
        <v>49</v>
      </c>
      <c r="AF444" s="5"/>
      <c r="AG444" s="5"/>
      <c r="AH444" s="5" t="s">
        <v>1825</v>
      </c>
    </row>
    <row r="445" spans="2:34" ht="22.95" customHeight="1" outlineLevel="4" x14ac:dyDescent="0.2">
      <c r="B445" s="75" t="s">
        <v>1870</v>
      </c>
      <c r="C445" s="75"/>
      <c r="D445" s="75"/>
    </row>
    <row r="446" spans="2:34" ht="21" customHeight="1" outlineLevel="5" x14ac:dyDescent="0.2">
      <c r="B446" s="4">
        <v>315</v>
      </c>
      <c r="C446" s="5" t="s">
        <v>1871</v>
      </c>
      <c r="D446" s="5" t="s">
        <v>1872</v>
      </c>
      <c r="E446" s="6" t="s">
        <v>1873</v>
      </c>
      <c r="F446" s="10"/>
      <c r="G446" s="11" t="s">
        <v>1874</v>
      </c>
      <c r="H446" s="12">
        <v>10</v>
      </c>
      <c r="I446" s="13" t="s">
        <v>41</v>
      </c>
      <c r="J446" s="13"/>
      <c r="K446" s="13"/>
      <c r="L446" s="4">
        <v>3</v>
      </c>
      <c r="M446" s="14">
        <f>219*(1-P3/100)</f>
        <v>219</v>
      </c>
      <c r="N446" s="15"/>
      <c r="O446" s="13">
        <f t="shared" ref="O446:O453" si="8">M446*N446</f>
        <v>0</v>
      </c>
      <c r="P446" s="22">
        <f t="shared" ref="P446:P451" si="9">0.284*N446</f>
        <v>0</v>
      </c>
      <c r="Q446" s="23">
        <f t="shared" ref="Q446:Q451" si="10">0.00048*N446</f>
        <v>0</v>
      </c>
      <c r="R446" s="24"/>
      <c r="S446" s="25" t="s">
        <v>1875</v>
      </c>
      <c r="T446" s="25" t="s">
        <v>94</v>
      </c>
      <c r="U446" s="5"/>
      <c r="V446" s="5"/>
      <c r="W446" s="5" t="s">
        <v>46</v>
      </c>
      <c r="X446" s="5"/>
      <c r="Y446" s="5"/>
      <c r="Z446" s="5" t="str">
        <f>HYPERLINK("https://knigipp.ru/api/getInfo/image/1b95528c-900e-11ee-a250-00155d82e908")</f>
        <v>https://knigipp.ru/api/getInfo/image/1b95528c-900e-11ee-a250-00155d82e908</v>
      </c>
      <c r="AA446" s="33">
        <v>128</v>
      </c>
      <c r="AB446" s="5" t="s">
        <v>598</v>
      </c>
      <c r="AC446" s="5" t="s">
        <v>86</v>
      </c>
      <c r="AD446" s="33">
        <v>120</v>
      </c>
      <c r="AE446" s="5" t="s">
        <v>49</v>
      </c>
      <c r="AF446" s="5"/>
      <c r="AG446" s="5"/>
      <c r="AH446" s="5" t="s">
        <v>1876</v>
      </c>
    </row>
    <row r="447" spans="2:34" ht="21" customHeight="1" outlineLevel="5" x14ac:dyDescent="0.2">
      <c r="B447" s="4">
        <v>316</v>
      </c>
      <c r="C447" s="5" t="s">
        <v>1877</v>
      </c>
      <c r="D447" s="5" t="s">
        <v>1878</v>
      </c>
      <c r="E447" s="6" t="s">
        <v>1879</v>
      </c>
      <c r="F447" s="10"/>
      <c r="G447" s="11" t="s">
        <v>1874</v>
      </c>
      <c r="H447" s="12">
        <v>10</v>
      </c>
      <c r="I447" s="13" t="s">
        <v>41</v>
      </c>
      <c r="J447" s="13"/>
      <c r="K447" s="13"/>
      <c r="L447" s="4">
        <v>3</v>
      </c>
      <c r="M447" s="14">
        <f>219*(1-P3/100)</f>
        <v>219</v>
      </c>
      <c r="N447" s="15"/>
      <c r="O447" s="13">
        <f t="shared" si="8"/>
        <v>0</v>
      </c>
      <c r="P447" s="22">
        <f t="shared" si="9"/>
        <v>0</v>
      </c>
      <c r="Q447" s="23">
        <f t="shared" si="10"/>
        <v>0</v>
      </c>
      <c r="R447" s="24"/>
      <c r="S447" s="25" t="s">
        <v>1880</v>
      </c>
      <c r="T447" s="25" t="s">
        <v>94</v>
      </c>
      <c r="U447" s="5"/>
      <c r="V447" s="5"/>
      <c r="W447" s="5" t="s">
        <v>46</v>
      </c>
      <c r="X447" s="5" t="s">
        <v>1881</v>
      </c>
      <c r="Y447" s="5"/>
      <c r="Z447" s="5" t="str">
        <f>HYPERLINK("https://knigipp.ru/api/getInfo/image/a90389ce-2575-11ee-a23d-00155d82e902")</f>
        <v>https://knigipp.ru/api/getInfo/image/a90389ce-2575-11ee-a23d-00155d82e902</v>
      </c>
      <c r="AA447" s="33">
        <v>128</v>
      </c>
      <c r="AB447" s="5" t="s">
        <v>598</v>
      </c>
      <c r="AC447" s="5" t="s">
        <v>86</v>
      </c>
      <c r="AD447" s="33">
        <v>120</v>
      </c>
      <c r="AE447" s="5" t="s">
        <v>49</v>
      </c>
      <c r="AF447" s="5"/>
      <c r="AG447" s="5"/>
      <c r="AH447" s="5" t="s">
        <v>1876</v>
      </c>
    </row>
    <row r="448" spans="2:34" ht="21" customHeight="1" outlineLevel="5" x14ac:dyDescent="0.2">
      <c r="B448" s="4">
        <v>317</v>
      </c>
      <c r="C448" s="5" t="s">
        <v>1882</v>
      </c>
      <c r="D448" s="5" t="s">
        <v>1883</v>
      </c>
      <c r="E448" s="6" t="s">
        <v>1884</v>
      </c>
      <c r="F448" s="10"/>
      <c r="G448" s="11" t="s">
        <v>1874</v>
      </c>
      <c r="H448" s="12">
        <v>10</v>
      </c>
      <c r="I448" s="13" t="s">
        <v>41</v>
      </c>
      <c r="J448" s="13"/>
      <c r="K448" s="13"/>
      <c r="L448" s="4">
        <v>3</v>
      </c>
      <c r="M448" s="14">
        <f>219*(1-P3/100)</f>
        <v>219</v>
      </c>
      <c r="N448" s="15"/>
      <c r="O448" s="13">
        <f t="shared" si="8"/>
        <v>0</v>
      </c>
      <c r="P448" s="22">
        <f t="shared" si="9"/>
        <v>0</v>
      </c>
      <c r="Q448" s="23">
        <f t="shared" si="10"/>
        <v>0</v>
      </c>
      <c r="R448" s="24"/>
      <c r="S448" s="25" t="s">
        <v>1885</v>
      </c>
      <c r="T448" s="25" t="s">
        <v>94</v>
      </c>
      <c r="U448" s="5"/>
      <c r="V448" s="5"/>
      <c r="W448" s="5" t="s">
        <v>46</v>
      </c>
      <c r="X448" s="5"/>
      <c r="Y448" s="5"/>
      <c r="Z448" s="5" t="str">
        <f>HYPERLINK("https://knigipp.ru/api/getInfo/image/701bb0ef-900d-11ee-a250-00155d82e908")</f>
        <v>https://knigipp.ru/api/getInfo/image/701bb0ef-900d-11ee-a250-00155d82e908</v>
      </c>
      <c r="AA448" s="33">
        <v>128</v>
      </c>
      <c r="AB448" s="5" t="s">
        <v>598</v>
      </c>
      <c r="AC448" s="5" t="s">
        <v>86</v>
      </c>
      <c r="AD448" s="33">
        <v>120</v>
      </c>
      <c r="AE448" s="5" t="s">
        <v>49</v>
      </c>
      <c r="AF448" s="5"/>
      <c r="AG448" s="5"/>
      <c r="AH448" s="5" t="s">
        <v>1876</v>
      </c>
    </row>
    <row r="449" spans="2:34" ht="21" customHeight="1" outlineLevel="5" x14ac:dyDescent="0.2">
      <c r="B449" s="4">
        <v>318</v>
      </c>
      <c r="C449" s="5" t="s">
        <v>1886</v>
      </c>
      <c r="D449" s="5" t="s">
        <v>1887</v>
      </c>
      <c r="E449" s="6" t="s">
        <v>1888</v>
      </c>
      <c r="F449" s="10"/>
      <c r="G449" s="11" t="s">
        <v>1874</v>
      </c>
      <c r="H449" s="12">
        <v>10</v>
      </c>
      <c r="I449" s="13" t="s">
        <v>41</v>
      </c>
      <c r="J449" s="13"/>
      <c r="K449" s="13"/>
      <c r="L449" s="4">
        <v>3</v>
      </c>
      <c r="M449" s="14">
        <f>219*(1-P3/100)</f>
        <v>219</v>
      </c>
      <c r="N449" s="15"/>
      <c r="O449" s="13">
        <f t="shared" si="8"/>
        <v>0</v>
      </c>
      <c r="P449" s="22">
        <f t="shared" si="9"/>
        <v>0</v>
      </c>
      <c r="Q449" s="23">
        <f t="shared" si="10"/>
        <v>0</v>
      </c>
      <c r="R449" s="24"/>
      <c r="S449" s="25" t="s">
        <v>1889</v>
      </c>
      <c r="T449" s="25" t="s">
        <v>94</v>
      </c>
      <c r="U449" s="5"/>
      <c r="V449" s="5" t="s">
        <v>1890</v>
      </c>
      <c r="W449" s="5" t="s">
        <v>46</v>
      </c>
      <c r="X449" s="5"/>
      <c r="Y449" s="5"/>
      <c r="Z449" s="5" t="str">
        <f>HYPERLINK("https://knigipp.ru/api/getInfo/image/c88b9354-6e75-11ee-a247-00155d82e902")</f>
        <v>https://knigipp.ru/api/getInfo/image/c88b9354-6e75-11ee-a247-00155d82e902</v>
      </c>
      <c r="AA449" s="33">
        <v>128</v>
      </c>
      <c r="AB449" s="5" t="s">
        <v>598</v>
      </c>
      <c r="AC449" s="5" t="s">
        <v>86</v>
      </c>
      <c r="AD449" s="33">
        <v>120</v>
      </c>
      <c r="AE449" s="5" t="s">
        <v>49</v>
      </c>
      <c r="AF449" s="5"/>
      <c r="AG449" s="5"/>
      <c r="AH449" s="5" t="s">
        <v>1876</v>
      </c>
    </row>
    <row r="450" spans="2:34" ht="21" customHeight="1" outlineLevel="5" x14ac:dyDescent="0.2">
      <c r="B450" s="4">
        <v>319</v>
      </c>
      <c r="C450" s="5" t="s">
        <v>1891</v>
      </c>
      <c r="D450" s="5" t="s">
        <v>1892</v>
      </c>
      <c r="E450" s="6" t="s">
        <v>1893</v>
      </c>
      <c r="F450" s="10"/>
      <c r="G450" s="11" t="s">
        <v>1874</v>
      </c>
      <c r="H450" s="12">
        <v>10</v>
      </c>
      <c r="I450" s="13" t="s">
        <v>41</v>
      </c>
      <c r="J450" s="13"/>
      <c r="K450" s="13"/>
      <c r="L450" s="4">
        <v>3</v>
      </c>
      <c r="M450" s="14">
        <f>219*(1-P3/100)</f>
        <v>219</v>
      </c>
      <c r="N450" s="15"/>
      <c r="O450" s="13">
        <f t="shared" si="8"/>
        <v>0</v>
      </c>
      <c r="P450" s="22">
        <f t="shared" si="9"/>
        <v>0</v>
      </c>
      <c r="Q450" s="23">
        <f t="shared" si="10"/>
        <v>0</v>
      </c>
      <c r="R450" s="24"/>
      <c r="S450" s="25" t="s">
        <v>1894</v>
      </c>
      <c r="T450" s="25" t="s">
        <v>94</v>
      </c>
      <c r="U450" s="5"/>
      <c r="V450" s="5"/>
      <c r="W450" s="5" t="s">
        <v>46</v>
      </c>
      <c r="X450" s="5" t="s">
        <v>1895</v>
      </c>
      <c r="Y450" s="5"/>
      <c r="Z450" s="5" t="str">
        <f>HYPERLINK("https://knigipp.ru/api/getInfo/image/ec2e2d61-2575-11ee-a23d-00155d82e902")</f>
        <v>https://knigipp.ru/api/getInfo/image/ec2e2d61-2575-11ee-a23d-00155d82e902</v>
      </c>
      <c r="AA450" s="33">
        <v>128</v>
      </c>
      <c r="AB450" s="5" t="s">
        <v>598</v>
      </c>
      <c r="AC450" s="5" t="s">
        <v>86</v>
      </c>
      <c r="AD450" s="33">
        <v>120</v>
      </c>
      <c r="AE450" s="5" t="s">
        <v>49</v>
      </c>
      <c r="AF450" s="5"/>
      <c r="AG450" s="5"/>
      <c r="AH450" s="5" t="s">
        <v>1876</v>
      </c>
    </row>
    <row r="451" spans="2:34" ht="21" customHeight="1" outlineLevel="5" x14ac:dyDescent="0.2">
      <c r="B451" s="4">
        <v>320</v>
      </c>
      <c r="C451" s="5" t="s">
        <v>1896</v>
      </c>
      <c r="D451" s="5" t="s">
        <v>1897</v>
      </c>
      <c r="E451" s="6" t="s">
        <v>1898</v>
      </c>
      <c r="F451" s="10"/>
      <c r="G451" s="11" t="s">
        <v>1874</v>
      </c>
      <c r="H451" s="12">
        <v>10</v>
      </c>
      <c r="I451" s="13" t="s">
        <v>371</v>
      </c>
      <c r="J451" s="13"/>
      <c r="K451" s="13"/>
      <c r="L451" s="4">
        <v>3</v>
      </c>
      <c r="M451" s="14">
        <f>219*(1-P3/100)</f>
        <v>219</v>
      </c>
      <c r="N451" s="15"/>
      <c r="O451" s="13">
        <f t="shared" si="8"/>
        <v>0</v>
      </c>
      <c r="P451" s="22">
        <f t="shared" si="9"/>
        <v>0</v>
      </c>
      <c r="Q451" s="23">
        <f t="shared" si="10"/>
        <v>0</v>
      </c>
      <c r="R451" s="24"/>
      <c r="S451" s="25" t="s">
        <v>1899</v>
      </c>
      <c r="T451" s="25" t="s">
        <v>94</v>
      </c>
      <c r="U451" s="5"/>
      <c r="V451" s="5"/>
      <c r="W451" s="5" t="s">
        <v>46</v>
      </c>
      <c r="X451" s="5"/>
      <c r="Y451" s="5"/>
      <c r="Z451" s="5" t="str">
        <f>HYPERLINK("https://knigipp.ru/api/getInfo/image/63552d55-900e-11ee-a250-00155d82e908")</f>
        <v>https://knigipp.ru/api/getInfo/image/63552d55-900e-11ee-a250-00155d82e908</v>
      </c>
      <c r="AA451" s="33">
        <v>128</v>
      </c>
      <c r="AB451" s="5" t="s">
        <v>598</v>
      </c>
      <c r="AC451" s="5" t="s">
        <v>86</v>
      </c>
      <c r="AD451" s="33">
        <v>120</v>
      </c>
      <c r="AE451" s="5" t="s">
        <v>49</v>
      </c>
      <c r="AF451" s="5"/>
      <c r="AG451" s="5"/>
      <c r="AH451" s="5" t="s">
        <v>1876</v>
      </c>
    </row>
    <row r="452" spans="2:34" ht="21" customHeight="1" outlineLevel="5" x14ac:dyDescent="0.2">
      <c r="B452" s="4">
        <v>321</v>
      </c>
      <c r="C452" s="5" t="s">
        <v>1900</v>
      </c>
      <c r="D452" s="5" t="s">
        <v>1901</v>
      </c>
      <c r="E452" s="6" t="s">
        <v>1902</v>
      </c>
      <c r="F452" s="10"/>
      <c r="G452" s="11" t="s">
        <v>1874</v>
      </c>
      <c r="H452" s="12">
        <v>10</v>
      </c>
      <c r="I452" s="13" t="s">
        <v>41</v>
      </c>
      <c r="J452" s="13"/>
      <c r="K452" s="13"/>
      <c r="L452" s="4">
        <v>3</v>
      </c>
      <c r="M452" s="14">
        <f>219*(1-P3/100)</f>
        <v>219</v>
      </c>
      <c r="N452" s="15"/>
      <c r="O452" s="13">
        <f t="shared" si="8"/>
        <v>0</v>
      </c>
      <c r="P452" s="22">
        <f>0.291*N452</f>
        <v>0</v>
      </c>
      <c r="Q452" s="23">
        <f>0.00053*N452</f>
        <v>0</v>
      </c>
      <c r="R452" s="24"/>
      <c r="S452" s="25" t="s">
        <v>1903</v>
      </c>
      <c r="T452" s="25" t="s">
        <v>94</v>
      </c>
      <c r="U452" s="5"/>
      <c r="V452" s="5" t="s">
        <v>1904</v>
      </c>
      <c r="W452" s="5" t="s">
        <v>46</v>
      </c>
      <c r="X452" s="5"/>
      <c r="Y452" s="5"/>
      <c r="Z452" s="5" t="str">
        <f>HYPERLINK("https://knigipp.ru/api/getInfo/image/d11d97d8-900d-11ee-a250-00155d82e908")</f>
        <v>https://knigipp.ru/api/getInfo/image/d11d97d8-900d-11ee-a250-00155d82e908</v>
      </c>
      <c r="AA452" s="33">
        <v>128</v>
      </c>
      <c r="AB452" s="5" t="s">
        <v>598</v>
      </c>
      <c r="AC452" s="5" t="s">
        <v>86</v>
      </c>
      <c r="AD452" s="33">
        <v>120</v>
      </c>
      <c r="AE452" s="5" t="s">
        <v>49</v>
      </c>
      <c r="AF452" s="5"/>
      <c r="AG452" s="5"/>
      <c r="AH452" s="5" t="s">
        <v>1876</v>
      </c>
    </row>
    <row r="453" spans="2:34" ht="21" customHeight="1" outlineLevel="5" x14ac:dyDescent="0.2">
      <c r="B453" s="4">
        <v>322</v>
      </c>
      <c r="C453" s="5" t="s">
        <v>1905</v>
      </c>
      <c r="D453" s="5" t="s">
        <v>1906</v>
      </c>
      <c r="E453" s="6" t="s">
        <v>1907</v>
      </c>
      <c r="F453" s="10"/>
      <c r="G453" s="11" t="s">
        <v>1874</v>
      </c>
      <c r="H453" s="12">
        <v>10</v>
      </c>
      <c r="I453" s="13" t="s">
        <v>261</v>
      </c>
      <c r="J453" s="13"/>
      <c r="K453" s="13"/>
      <c r="L453" s="4">
        <v>3</v>
      </c>
      <c r="M453" s="14">
        <f>219*(1-P3/100)</f>
        <v>219</v>
      </c>
      <c r="N453" s="15"/>
      <c r="O453" s="13">
        <f t="shared" si="8"/>
        <v>0</v>
      </c>
      <c r="P453" s="22">
        <f>0.284*N453</f>
        <v>0</v>
      </c>
      <c r="Q453" s="23">
        <f>0.00048*N453</f>
        <v>0</v>
      </c>
      <c r="R453" s="24"/>
      <c r="S453" s="25" t="s">
        <v>1908</v>
      </c>
      <c r="T453" s="25" t="s">
        <v>94</v>
      </c>
      <c r="U453" s="5"/>
      <c r="V453" s="5" t="s">
        <v>1909</v>
      </c>
      <c r="W453" s="5" t="s">
        <v>46</v>
      </c>
      <c r="X453" s="5" t="s">
        <v>1910</v>
      </c>
      <c r="Y453" s="5"/>
      <c r="Z453" s="5" t="str">
        <f>HYPERLINK("https://knigipp.ru/api/getInfo/image/e50e40e1-bf64-11ee-a25a-00155d82e908")</f>
        <v>https://knigipp.ru/api/getInfo/image/e50e40e1-bf64-11ee-a25a-00155d82e908</v>
      </c>
      <c r="AA453" s="33">
        <v>128</v>
      </c>
      <c r="AB453" s="5" t="s">
        <v>598</v>
      </c>
      <c r="AC453" s="5" t="s">
        <v>86</v>
      </c>
      <c r="AD453" s="33">
        <v>120</v>
      </c>
      <c r="AE453" s="5" t="s">
        <v>49</v>
      </c>
      <c r="AF453" s="5"/>
      <c r="AG453" s="5"/>
      <c r="AH453" s="5" t="s">
        <v>1876</v>
      </c>
    </row>
    <row r="454" spans="2:34" ht="22.95" customHeight="1" outlineLevel="4" x14ac:dyDescent="0.2">
      <c r="B454" s="75" t="s">
        <v>1911</v>
      </c>
      <c r="C454" s="75"/>
      <c r="D454" s="75"/>
    </row>
    <row r="455" spans="2:34" ht="21" customHeight="1" outlineLevel="5" x14ac:dyDescent="0.2">
      <c r="B455" s="7">
        <v>323</v>
      </c>
      <c r="C455" s="8" t="s">
        <v>1912</v>
      </c>
      <c r="D455" s="8" t="s">
        <v>1913</v>
      </c>
      <c r="E455" s="9" t="s">
        <v>1914</v>
      </c>
      <c r="F455" s="16"/>
      <c r="G455" s="17"/>
      <c r="H455" s="18">
        <v>10</v>
      </c>
      <c r="I455" s="19" t="s">
        <v>41</v>
      </c>
      <c r="J455" s="19"/>
      <c r="K455" s="19"/>
      <c r="L455" s="7">
        <v>1</v>
      </c>
      <c r="M455" s="21">
        <f>647*(1-P3/100)</f>
        <v>647</v>
      </c>
      <c r="N455" s="15"/>
      <c r="O455" s="19">
        <f>M455*N455</f>
        <v>0</v>
      </c>
      <c r="P455" s="26">
        <f>0.443*N455</f>
        <v>0</v>
      </c>
      <c r="Q455" s="27">
        <f>0.00053*N455</f>
        <v>0</v>
      </c>
      <c r="R455" s="28" t="s">
        <v>81</v>
      </c>
      <c r="S455" s="29" t="s">
        <v>1915</v>
      </c>
      <c r="T455" s="29" t="s">
        <v>94</v>
      </c>
      <c r="U455" s="8"/>
      <c r="V455" s="8"/>
      <c r="W455" s="8" t="s">
        <v>46</v>
      </c>
      <c r="X455" s="8"/>
      <c r="Y455" s="8"/>
      <c r="Z455" s="8" t="str">
        <f>HYPERLINK("https://knigipp.ru/api/getInfo/image/21b92d82-9abc-11f0-a285-00155d82e908")</f>
        <v>https://knigipp.ru/api/getInfo/image/21b92d82-9abc-11f0-a285-00155d82e908</v>
      </c>
      <c r="AA455" s="34">
        <v>128</v>
      </c>
      <c r="AB455" s="8" t="s">
        <v>85</v>
      </c>
      <c r="AC455" s="8" t="s">
        <v>86</v>
      </c>
      <c r="AD455" s="8"/>
      <c r="AE455" s="8" t="s">
        <v>49</v>
      </c>
      <c r="AF455" s="8"/>
      <c r="AG455" s="8"/>
      <c r="AH455" s="8" t="s">
        <v>1916</v>
      </c>
    </row>
    <row r="456" spans="2:34" ht="21" customHeight="1" outlineLevel="5" x14ac:dyDescent="0.2">
      <c r="B456" s="4">
        <v>324</v>
      </c>
      <c r="C456" s="5" t="s">
        <v>1917</v>
      </c>
      <c r="D456" s="5" t="s">
        <v>1918</v>
      </c>
      <c r="E456" s="6" t="s">
        <v>1919</v>
      </c>
      <c r="F456" s="10"/>
      <c r="G456" s="11" t="s">
        <v>1920</v>
      </c>
      <c r="H456" s="12">
        <v>10</v>
      </c>
      <c r="I456" s="13" t="s">
        <v>41</v>
      </c>
      <c r="J456" s="13"/>
      <c r="K456" s="13"/>
      <c r="L456" s="4">
        <v>1</v>
      </c>
      <c r="M456" s="14">
        <f>647*(1-P3/100)</f>
        <v>647</v>
      </c>
      <c r="N456" s="15"/>
      <c r="O456" s="13">
        <f>M456*N456</f>
        <v>0</v>
      </c>
      <c r="P456" s="22">
        <f>4.527*N456</f>
        <v>0</v>
      </c>
      <c r="Q456" s="23">
        <f>0.04438*N456</f>
        <v>0</v>
      </c>
      <c r="R456" s="24"/>
      <c r="S456" s="25" t="s">
        <v>1921</v>
      </c>
      <c r="T456" s="25" t="s">
        <v>94</v>
      </c>
      <c r="U456" s="5"/>
      <c r="V456" s="5" t="s">
        <v>1922</v>
      </c>
      <c r="W456" s="5" t="s">
        <v>46</v>
      </c>
      <c r="X456" s="5"/>
      <c r="Y456" s="5"/>
      <c r="Z456" s="5" t="str">
        <f>HYPERLINK("https://knigipp.ru/api/getInfo/image/4df3d72d-25c1-11f0-a279-00155d82e908")</f>
        <v>https://knigipp.ru/api/getInfo/image/4df3d72d-25c1-11f0-a279-00155d82e908</v>
      </c>
      <c r="AA456" s="33">
        <v>128</v>
      </c>
      <c r="AB456" s="5" t="s">
        <v>85</v>
      </c>
      <c r="AC456" s="5" t="s">
        <v>86</v>
      </c>
      <c r="AD456" s="5"/>
      <c r="AE456" s="5" t="s">
        <v>49</v>
      </c>
      <c r="AF456" s="5"/>
      <c r="AG456" s="5"/>
      <c r="AH456" s="5" t="s">
        <v>1916</v>
      </c>
    </row>
    <row r="457" spans="2:34" ht="21" customHeight="1" outlineLevel="5" x14ac:dyDescent="0.2">
      <c r="B457" s="7">
        <v>325</v>
      </c>
      <c r="C457" s="8" t="s">
        <v>1923</v>
      </c>
      <c r="D457" s="8" t="s">
        <v>1924</v>
      </c>
      <c r="E457" s="9" t="s">
        <v>1925</v>
      </c>
      <c r="F457" s="16"/>
      <c r="G457" s="17"/>
      <c r="H457" s="18">
        <v>10</v>
      </c>
      <c r="I457" s="19" t="s">
        <v>41</v>
      </c>
      <c r="J457" s="19"/>
      <c r="K457" s="19"/>
      <c r="L457" s="7">
        <v>1</v>
      </c>
      <c r="M457" s="21">
        <f>647*(1-P3/100)</f>
        <v>647</v>
      </c>
      <c r="N457" s="15"/>
      <c r="O457" s="19">
        <f>M457*N457</f>
        <v>0</v>
      </c>
      <c r="P457" s="26">
        <f>0.444*N457</f>
        <v>0</v>
      </c>
      <c r="Q457" s="27">
        <f>0.00053*N457</f>
        <v>0</v>
      </c>
      <c r="R457" s="28" t="s">
        <v>81</v>
      </c>
      <c r="S457" s="29" t="s">
        <v>1926</v>
      </c>
      <c r="T457" s="29" t="s">
        <v>94</v>
      </c>
      <c r="U457" s="8"/>
      <c r="V457" s="8"/>
      <c r="W457" s="8" t="s">
        <v>46</v>
      </c>
      <c r="X457" s="8"/>
      <c r="Y457" s="8"/>
      <c r="Z457" s="8" t="str">
        <f>HYPERLINK("https://knigipp.ru/api/getInfo/image/4a27bcbd-9abc-11f0-a285-00155d82e908")</f>
        <v>https://knigipp.ru/api/getInfo/image/4a27bcbd-9abc-11f0-a285-00155d82e908</v>
      </c>
      <c r="AA457" s="34">
        <v>128</v>
      </c>
      <c r="AB457" s="8" t="s">
        <v>85</v>
      </c>
      <c r="AC457" s="8" t="s">
        <v>86</v>
      </c>
      <c r="AD457" s="8"/>
      <c r="AE457" s="8" t="s">
        <v>49</v>
      </c>
      <c r="AF457" s="8"/>
      <c r="AG457" s="8"/>
      <c r="AH457" s="8" t="s">
        <v>1916</v>
      </c>
    </row>
    <row r="458" spans="2:34" ht="21" customHeight="1" outlineLevel="5" x14ac:dyDescent="0.2">
      <c r="B458" s="4">
        <v>326</v>
      </c>
      <c r="C458" s="5" t="s">
        <v>1927</v>
      </c>
      <c r="D458" s="5" t="s">
        <v>1928</v>
      </c>
      <c r="E458" s="6" t="s">
        <v>1929</v>
      </c>
      <c r="F458" s="10"/>
      <c r="G458" s="11" t="s">
        <v>1920</v>
      </c>
      <c r="H458" s="12">
        <v>10</v>
      </c>
      <c r="I458" s="13" t="s">
        <v>41</v>
      </c>
      <c r="J458" s="13"/>
      <c r="K458" s="13"/>
      <c r="L458" s="4">
        <v>1</v>
      </c>
      <c r="M458" s="14">
        <f>647*(1-P3/100)</f>
        <v>647</v>
      </c>
      <c r="N458" s="15"/>
      <c r="O458" s="13">
        <f>M458*N458</f>
        <v>0</v>
      </c>
      <c r="P458" s="22">
        <f>4.527*N458</f>
        <v>0</v>
      </c>
      <c r="Q458" s="23">
        <f>0.04438*N458</f>
        <v>0</v>
      </c>
      <c r="R458" s="24"/>
      <c r="S458" s="25" t="s">
        <v>1930</v>
      </c>
      <c r="T458" s="25" t="s">
        <v>94</v>
      </c>
      <c r="U458" s="5"/>
      <c r="V458" s="5" t="s">
        <v>1931</v>
      </c>
      <c r="W458" s="5" t="s">
        <v>46</v>
      </c>
      <c r="X458" s="5"/>
      <c r="Y458" s="5"/>
      <c r="Z458" s="5" t="str">
        <f>HYPERLINK("https://knigipp.ru/api/getInfo/image/209a1d9c-25c1-11f0-a279-00155d82e908")</f>
        <v>https://knigipp.ru/api/getInfo/image/209a1d9c-25c1-11f0-a279-00155d82e908</v>
      </c>
      <c r="AA458" s="33">
        <v>128</v>
      </c>
      <c r="AB458" s="5" t="s">
        <v>85</v>
      </c>
      <c r="AC458" s="5" t="s">
        <v>86</v>
      </c>
      <c r="AD458" s="5"/>
      <c r="AE458" s="5" t="s">
        <v>49</v>
      </c>
      <c r="AF458" s="5"/>
      <c r="AG458" s="5"/>
      <c r="AH458" s="5" t="s">
        <v>1916</v>
      </c>
    </row>
    <row r="459" spans="2:34" ht="22.95" customHeight="1" outlineLevel="4" x14ac:dyDescent="0.2">
      <c r="B459" s="75" t="s">
        <v>1932</v>
      </c>
      <c r="C459" s="75"/>
      <c r="D459" s="75"/>
    </row>
    <row r="460" spans="2:34" ht="21" customHeight="1" outlineLevel="5" x14ac:dyDescent="0.2">
      <c r="B460" s="4">
        <v>327</v>
      </c>
      <c r="C460" s="5" t="s">
        <v>1933</v>
      </c>
      <c r="D460" s="5" t="s">
        <v>1934</v>
      </c>
      <c r="E460" s="6" t="s">
        <v>1935</v>
      </c>
      <c r="F460" s="10"/>
      <c r="G460" s="11" t="s">
        <v>1936</v>
      </c>
      <c r="H460" s="12">
        <v>10</v>
      </c>
      <c r="I460" s="13" t="s">
        <v>41</v>
      </c>
      <c r="J460" s="13"/>
      <c r="K460" s="13"/>
      <c r="L460" s="4">
        <v>3</v>
      </c>
      <c r="M460" s="14">
        <f>249*(1-P3/100)</f>
        <v>249</v>
      </c>
      <c r="N460" s="15"/>
      <c r="O460" s="13">
        <f t="shared" ref="O460:O471" si="11">M460*N460</f>
        <v>0</v>
      </c>
      <c r="P460" s="22">
        <f>0.333*N460</f>
        <v>0</v>
      </c>
      <c r="Q460" s="23">
        <f>0.00056*N460</f>
        <v>0</v>
      </c>
      <c r="R460" s="24"/>
      <c r="S460" s="25" t="s">
        <v>1937</v>
      </c>
      <c r="T460" s="25" t="s">
        <v>94</v>
      </c>
      <c r="U460" s="5"/>
      <c r="V460" s="5" t="s">
        <v>1938</v>
      </c>
      <c r="W460" s="5" t="s">
        <v>46</v>
      </c>
      <c r="X460" s="5" t="s">
        <v>1530</v>
      </c>
      <c r="Y460" s="5"/>
      <c r="Z460" s="5" t="str">
        <f>HYPERLINK("https://knigipp.ru/api/getInfo/image/7a9d21e6-d1fb-11ed-a230-00155d82e902")</f>
        <v>https://knigipp.ru/api/getInfo/image/7a9d21e6-d1fb-11ed-a230-00155d82e902</v>
      </c>
      <c r="AA460" s="33">
        <v>160</v>
      </c>
      <c r="AB460" s="5"/>
      <c r="AC460" s="5" t="s">
        <v>86</v>
      </c>
      <c r="AD460" s="5"/>
      <c r="AE460" s="5" t="s">
        <v>49</v>
      </c>
      <c r="AF460" s="5"/>
      <c r="AG460" s="5"/>
      <c r="AH460" s="5" t="s">
        <v>1939</v>
      </c>
    </row>
    <row r="461" spans="2:34" ht="21" customHeight="1" outlineLevel="5" x14ac:dyDescent="0.2">
      <c r="B461" s="4">
        <v>328</v>
      </c>
      <c r="C461" s="5" t="s">
        <v>1940</v>
      </c>
      <c r="D461" s="5" t="s">
        <v>1941</v>
      </c>
      <c r="E461" s="6" t="s">
        <v>1942</v>
      </c>
      <c r="F461" s="10"/>
      <c r="G461" s="11" t="s">
        <v>1936</v>
      </c>
      <c r="H461" s="12">
        <v>10</v>
      </c>
      <c r="I461" s="13" t="s">
        <v>41</v>
      </c>
      <c r="J461" s="13"/>
      <c r="K461" s="13"/>
      <c r="L461" s="4">
        <v>3</v>
      </c>
      <c r="M461" s="14">
        <f>249*(1-P3/100)</f>
        <v>249</v>
      </c>
      <c r="N461" s="15"/>
      <c r="O461" s="13">
        <f t="shared" si="11"/>
        <v>0</v>
      </c>
      <c r="P461" s="22">
        <f>0.345*N461</f>
        <v>0</v>
      </c>
      <c r="Q461" s="23">
        <f>0.00061*N461</f>
        <v>0</v>
      </c>
      <c r="R461" s="24"/>
      <c r="S461" s="25" t="s">
        <v>1943</v>
      </c>
      <c r="T461" s="25" t="s">
        <v>94</v>
      </c>
      <c r="U461" s="5"/>
      <c r="V461" s="5"/>
      <c r="W461" s="5" t="s">
        <v>46</v>
      </c>
      <c r="X461" s="5" t="s">
        <v>1530</v>
      </c>
      <c r="Y461" s="5"/>
      <c r="Z461" s="5" t="str">
        <f>HYPERLINK("https://knigipp.ru/api/getInfo/image/06a17197-d1fc-11ed-a230-00155d82e902")</f>
        <v>https://knigipp.ru/api/getInfo/image/06a17197-d1fc-11ed-a230-00155d82e902</v>
      </c>
      <c r="AA461" s="33">
        <v>160</v>
      </c>
      <c r="AB461" s="5"/>
      <c r="AC461" s="5" t="s">
        <v>86</v>
      </c>
      <c r="AD461" s="5"/>
      <c r="AE461" s="5" t="s">
        <v>49</v>
      </c>
      <c r="AF461" s="5"/>
      <c r="AG461" s="5"/>
      <c r="AH461" s="5" t="s">
        <v>1939</v>
      </c>
    </row>
    <row r="462" spans="2:34" ht="21" customHeight="1" outlineLevel="5" x14ac:dyDescent="0.2">
      <c r="B462" s="4">
        <v>329</v>
      </c>
      <c r="C462" s="5" t="s">
        <v>1944</v>
      </c>
      <c r="D462" s="5" t="s">
        <v>1945</v>
      </c>
      <c r="E462" s="6" t="s">
        <v>1946</v>
      </c>
      <c r="F462" s="10"/>
      <c r="G462" s="11" t="s">
        <v>1936</v>
      </c>
      <c r="H462" s="12">
        <v>10</v>
      </c>
      <c r="I462" s="13" t="s">
        <v>41</v>
      </c>
      <c r="J462" s="13"/>
      <c r="K462" s="13"/>
      <c r="L462" s="4">
        <v>3</v>
      </c>
      <c r="M462" s="14">
        <f>249*(1-P3/100)</f>
        <v>249</v>
      </c>
      <c r="N462" s="15"/>
      <c r="O462" s="13">
        <f t="shared" si="11"/>
        <v>0</v>
      </c>
      <c r="P462" s="22">
        <f>0.333*N462</f>
        <v>0</v>
      </c>
      <c r="Q462" s="23">
        <f>0.00056*N462</f>
        <v>0</v>
      </c>
      <c r="R462" s="24"/>
      <c r="S462" s="25" t="s">
        <v>1947</v>
      </c>
      <c r="T462" s="25" t="s">
        <v>94</v>
      </c>
      <c r="U462" s="5"/>
      <c r="V462" s="5" t="s">
        <v>1948</v>
      </c>
      <c r="W462" s="5" t="s">
        <v>46</v>
      </c>
      <c r="X462" s="5" t="s">
        <v>1530</v>
      </c>
      <c r="Y462" s="5"/>
      <c r="Z462" s="5" t="str">
        <f>HYPERLINK("https://knigipp.ru/api/getInfo/image/a4234f33-d1fc-11ed-a230-00155d82e902")</f>
        <v>https://knigipp.ru/api/getInfo/image/a4234f33-d1fc-11ed-a230-00155d82e902</v>
      </c>
      <c r="AA462" s="33">
        <v>160</v>
      </c>
      <c r="AB462" s="5"/>
      <c r="AC462" s="5" t="s">
        <v>86</v>
      </c>
      <c r="AD462" s="5"/>
      <c r="AE462" s="5" t="s">
        <v>49</v>
      </c>
      <c r="AF462" s="5"/>
      <c r="AG462" s="5"/>
      <c r="AH462" s="5" t="s">
        <v>1939</v>
      </c>
    </row>
    <row r="463" spans="2:34" ht="21" customHeight="1" outlineLevel="5" x14ac:dyDescent="0.2">
      <c r="B463" s="4">
        <v>330</v>
      </c>
      <c r="C463" s="5" t="s">
        <v>1949</v>
      </c>
      <c r="D463" s="5" t="s">
        <v>1950</v>
      </c>
      <c r="E463" s="6" t="s">
        <v>1951</v>
      </c>
      <c r="F463" s="10"/>
      <c r="G463" s="11" t="s">
        <v>1936</v>
      </c>
      <c r="H463" s="12">
        <v>10</v>
      </c>
      <c r="I463" s="13" t="s">
        <v>41</v>
      </c>
      <c r="J463" s="13"/>
      <c r="K463" s="13"/>
      <c r="L463" s="4">
        <v>3</v>
      </c>
      <c r="M463" s="14">
        <f>249*(1-P3/100)</f>
        <v>249</v>
      </c>
      <c r="N463" s="15"/>
      <c r="O463" s="13">
        <f t="shared" si="11"/>
        <v>0</v>
      </c>
      <c r="P463" s="22">
        <f>0.333*N463</f>
        <v>0</v>
      </c>
      <c r="Q463" s="23">
        <f>0.00056*N463</f>
        <v>0</v>
      </c>
      <c r="R463" s="24"/>
      <c r="S463" s="25" t="s">
        <v>1952</v>
      </c>
      <c r="T463" s="25" t="s">
        <v>94</v>
      </c>
      <c r="U463" s="5"/>
      <c r="V463" s="5"/>
      <c r="W463" s="5" t="s">
        <v>46</v>
      </c>
      <c r="X463" s="5" t="s">
        <v>1530</v>
      </c>
      <c r="Y463" s="5"/>
      <c r="Z463" s="5" t="str">
        <f>HYPERLINK("https://knigipp.ru/api/getInfo/image/d593c6e4-d1fb-11ed-a230-00155d82e902")</f>
        <v>https://knigipp.ru/api/getInfo/image/d593c6e4-d1fb-11ed-a230-00155d82e902</v>
      </c>
      <c r="AA463" s="33">
        <v>160</v>
      </c>
      <c r="AB463" s="5"/>
      <c r="AC463" s="5" t="s">
        <v>86</v>
      </c>
      <c r="AD463" s="5"/>
      <c r="AE463" s="5" t="s">
        <v>49</v>
      </c>
      <c r="AF463" s="5"/>
      <c r="AG463" s="5"/>
      <c r="AH463" s="5" t="s">
        <v>1939</v>
      </c>
    </row>
    <row r="464" spans="2:34" ht="21" customHeight="1" outlineLevel="5" x14ac:dyDescent="0.2">
      <c r="B464" s="4">
        <v>331</v>
      </c>
      <c r="C464" s="5" t="s">
        <v>1953</v>
      </c>
      <c r="D464" s="5" t="s">
        <v>1954</v>
      </c>
      <c r="E464" s="6" t="s">
        <v>1955</v>
      </c>
      <c r="F464" s="10"/>
      <c r="G464" s="11" t="s">
        <v>1936</v>
      </c>
      <c r="H464" s="12">
        <v>10</v>
      </c>
      <c r="I464" s="13" t="s">
        <v>41</v>
      </c>
      <c r="J464" s="13"/>
      <c r="K464" s="13"/>
      <c r="L464" s="4">
        <v>3</v>
      </c>
      <c r="M464" s="14">
        <f>249*(1-P3/100)</f>
        <v>249</v>
      </c>
      <c r="N464" s="15"/>
      <c r="O464" s="13">
        <f t="shared" si="11"/>
        <v>0</v>
      </c>
      <c r="P464" s="22">
        <f>0.344*N464</f>
        <v>0</v>
      </c>
      <c r="Q464" s="23">
        <f>0.00057*N464</f>
        <v>0</v>
      </c>
      <c r="R464" s="24"/>
      <c r="S464" s="25" t="s">
        <v>1956</v>
      </c>
      <c r="T464" s="25" t="s">
        <v>94</v>
      </c>
      <c r="U464" s="5"/>
      <c r="V464" s="5"/>
      <c r="W464" s="5" t="s">
        <v>46</v>
      </c>
      <c r="X464" s="5" t="s">
        <v>1530</v>
      </c>
      <c r="Y464" s="5"/>
      <c r="Z464" s="5" t="str">
        <f>HYPERLINK("https://knigipp.ru/api/getInfo/image/81f53be2-d1fc-11ed-a230-00155d82e902")</f>
        <v>https://knigipp.ru/api/getInfo/image/81f53be2-d1fc-11ed-a230-00155d82e902</v>
      </c>
      <c r="AA464" s="33">
        <v>160</v>
      </c>
      <c r="AB464" s="5"/>
      <c r="AC464" s="5" t="s">
        <v>86</v>
      </c>
      <c r="AD464" s="5"/>
      <c r="AE464" s="5" t="s">
        <v>49</v>
      </c>
      <c r="AF464" s="5"/>
      <c r="AG464" s="5"/>
      <c r="AH464" s="5" t="s">
        <v>1939</v>
      </c>
    </row>
    <row r="465" spans="2:34" ht="21" customHeight="1" outlineLevel="5" x14ac:dyDescent="0.2">
      <c r="B465" s="4">
        <v>332</v>
      </c>
      <c r="C465" s="5" t="s">
        <v>1957</v>
      </c>
      <c r="D465" s="5" t="s">
        <v>1958</v>
      </c>
      <c r="E465" s="6" t="s">
        <v>1959</v>
      </c>
      <c r="F465" s="10"/>
      <c r="G465" s="11" t="s">
        <v>1936</v>
      </c>
      <c r="H465" s="12">
        <v>10</v>
      </c>
      <c r="I465" s="13" t="s">
        <v>41</v>
      </c>
      <c r="J465" s="13"/>
      <c r="K465" s="13"/>
      <c r="L465" s="4">
        <v>3</v>
      </c>
      <c r="M465" s="14">
        <f>249*(1-P3/100)</f>
        <v>249</v>
      </c>
      <c r="N465" s="15"/>
      <c r="O465" s="13">
        <f t="shared" si="11"/>
        <v>0</v>
      </c>
      <c r="P465" s="22">
        <f>0.333*N465</f>
        <v>0</v>
      </c>
      <c r="Q465" s="23">
        <f>0.00056*N465</f>
        <v>0</v>
      </c>
      <c r="R465" s="24"/>
      <c r="S465" s="25" t="s">
        <v>1960</v>
      </c>
      <c r="T465" s="25" t="s">
        <v>94</v>
      </c>
      <c r="U465" s="5"/>
      <c r="V465" s="5" t="s">
        <v>1961</v>
      </c>
      <c r="W465" s="5" t="s">
        <v>46</v>
      </c>
      <c r="X465" s="5" t="s">
        <v>1530</v>
      </c>
      <c r="Y465" s="5"/>
      <c r="Z465" s="5" t="str">
        <f>HYPERLINK("https://knigipp.ru/api/getInfo/image/b6d0b577-d1fb-11ed-a230-00155d82e902")</f>
        <v>https://knigipp.ru/api/getInfo/image/b6d0b577-d1fb-11ed-a230-00155d82e902</v>
      </c>
      <c r="AA465" s="33">
        <v>160</v>
      </c>
      <c r="AB465" s="5"/>
      <c r="AC465" s="5" t="s">
        <v>86</v>
      </c>
      <c r="AD465" s="5"/>
      <c r="AE465" s="5" t="s">
        <v>49</v>
      </c>
      <c r="AF465" s="5"/>
      <c r="AG465" s="5"/>
      <c r="AH465" s="5" t="s">
        <v>1939</v>
      </c>
    </row>
    <row r="466" spans="2:34" ht="21" customHeight="1" outlineLevel="5" x14ac:dyDescent="0.2">
      <c r="B466" s="4">
        <v>333</v>
      </c>
      <c r="C466" s="5" t="s">
        <v>1962</v>
      </c>
      <c r="D466" s="5" t="s">
        <v>1963</v>
      </c>
      <c r="E466" s="6" t="s">
        <v>1964</v>
      </c>
      <c r="F466" s="10"/>
      <c r="G466" s="11" t="s">
        <v>1936</v>
      </c>
      <c r="H466" s="12">
        <v>10</v>
      </c>
      <c r="I466" s="13" t="s">
        <v>41</v>
      </c>
      <c r="J466" s="13"/>
      <c r="K466" s="13"/>
      <c r="L466" s="4">
        <v>3</v>
      </c>
      <c r="M466" s="14">
        <f>249*(1-P3/100)</f>
        <v>249</v>
      </c>
      <c r="N466" s="15"/>
      <c r="O466" s="13">
        <f t="shared" si="11"/>
        <v>0</v>
      </c>
      <c r="P466" s="22">
        <f>0.333*N466</f>
        <v>0</v>
      </c>
      <c r="Q466" s="23">
        <f>0.00056*N466</f>
        <v>0</v>
      </c>
      <c r="R466" s="24"/>
      <c r="S466" s="25" t="s">
        <v>1965</v>
      </c>
      <c r="T466" s="25" t="s">
        <v>94</v>
      </c>
      <c r="U466" s="5"/>
      <c r="V466" s="5" t="s">
        <v>1966</v>
      </c>
      <c r="W466" s="5" t="s">
        <v>46</v>
      </c>
      <c r="X466" s="5" t="s">
        <v>1530</v>
      </c>
      <c r="Y466" s="5"/>
      <c r="Z466" s="5" t="str">
        <f>HYPERLINK("https://knigipp.ru/api/getInfo/image/0ccf3930-d1fb-11ed-a230-00155d82e902")</f>
        <v>https://knigipp.ru/api/getInfo/image/0ccf3930-d1fb-11ed-a230-00155d82e902</v>
      </c>
      <c r="AA466" s="33">
        <v>160</v>
      </c>
      <c r="AB466" s="5"/>
      <c r="AC466" s="5" t="s">
        <v>86</v>
      </c>
      <c r="AD466" s="5"/>
      <c r="AE466" s="5" t="s">
        <v>49</v>
      </c>
      <c r="AF466" s="5"/>
      <c r="AG466" s="5"/>
      <c r="AH466" s="5" t="s">
        <v>1939</v>
      </c>
    </row>
    <row r="467" spans="2:34" ht="21" customHeight="1" outlineLevel="5" x14ac:dyDescent="0.2">
      <c r="B467" s="4">
        <v>334</v>
      </c>
      <c r="C467" s="5" t="s">
        <v>1967</v>
      </c>
      <c r="D467" s="5" t="s">
        <v>1968</v>
      </c>
      <c r="E467" s="6" t="s">
        <v>1969</v>
      </c>
      <c r="F467" s="10"/>
      <c r="G467" s="11" t="s">
        <v>1936</v>
      </c>
      <c r="H467" s="12">
        <v>10</v>
      </c>
      <c r="I467" s="13" t="s">
        <v>41</v>
      </c>
      <c r="J467" s="13"/>
      <c r="K467" s="13"/>
      <c r="L467" s="4">
        <v>3</v>
      </c>
      <c r="M467" s="14">
        <f>249*(1-P3/100)</f>
        <v>249</v>
      </c>
      <c r="N467" s="15"/>
      <c r="O467" s="13">
        <f t="shared" si="11"/>
        <v>0</v>
      </c>
      <c r="P467" s="22">
        <f>0.333*N467</f>
        <v>0</v>
      </c>
      <c r="Q467" s="23">
        <f>0.00056*N467</f>
        <v>0</v>
      </c>
      <c r="R467" s="24"/>
      <c r="S467" s="25" t="s">
        <v>1970</v>
      </c>
      <c r="T467" s="25" t="s">
        <v>94</v>
      </c>
      <c r="U467" s="5"/>
      <c r="V467" s="5" t="s">
        <v>1971</v>
      </c>
      <c r="W467" s="5" t="s">
        <v>46</v>
      </c>
      <c r="X467" s="5" t="s">
        <v>1530</v>
      </c>
      <c r="Y467" s="5"/>
      <c r="Z467" s="5" t="str">
        <f>HYPERLINK("https://knigipp.ru/api/getInfo/image/95878518-d1fb-11ed-a230-00155d82e902")</f>
        <v>https://knigipp.ru/api/getInfo/image/95878518-d1fb-11ed-a230-00155d82e902</v>
      </c>
      <c r="AA467" s="33">
        <v>160</v>
      </c>
      <c r="AB467" s="5"/>
      <c r="AC467" s="5" t="s">
        <v>86</v>
      </c>
      <c r="AD467" s="5"/>
      <c r="AE467" s="5" t="s">
        <v>49</v>
      </c>
      <c r="AF467" s="5"/>
      <c r="AG467" s="5"/>
      <c r="AH467" s="5" t="s">
        <v>1939</v>
      </c>
    </row>
    <row r="468" spans="2:34" ht="21" customHeight="1" outlineLevel="5" x14ac:dyDescent="0.2">
      <c r="B468" s="4">
        <v>335</v>
      </c>
      <c r="C468" s="5" t="s">
        <v>1972</v>
      </c>
      <c r="D468" s="5" t="s">
        <v>1973</v>
      </c>
      <c r="E468" s="6" t="s">
        <v>1974</v>
      </c>
      <c r="F468" s="10"/>
      <c r="G468" s="11" t="s">
        <v>1936</v>
      </c>
      <c r="H468" s="12">
        <v>10</v>
      </c>
      <c r="I468" s="13" t="s">
        <v>41</v>
      </c>
      <c r="J468" s="13"/>
      <c r="K468" s="13"/>
      <c r="L468" s="4">
        <v>3</v>
      </c>
      <c r="M468" s="14">
        <f>249*(1-P3/100)</f>
        <v>249</v>
      </c>
      <c r="N468" s="15"/>
      <c r="O468" s="13">
        <f t="shared" si="11"/>
        <v>0</v>
      </c>
      <c r="P468" s="22">
        <f>0.333*N468</f>
        <v>0</v>
      </c>
      <c r="Q468" s="23">
        <f>0.00056*N468</f>
        <v>0</v>
      </c>
      <c r="R468" s="24"/>
      <c r="S468" s="25" t="s">
        <v>1975</v>
      </c>
      <c r="T468" s="25" t="s">
        <v>94</v>
      </c>
      <c r="U468" s="5"/>
      <c r="V468" s="5"/>
      <c r="W468" s="5" t="s">
        <v>46</v>
      </c>
      <c r="X468" s="5" t="s">
        <v>1530</v>
      </c>
      <c r="Y468" s="5"/>
      <c r="Z468" s="5" t="str">
        <f>HYPERLINK("https://knigipp.ru/api/getInfo/image/ca6cd29b-d1fc-11ed-a230-00155d82e902")</f>
        <v>https://knigipp.ru/api/getInfo/image/ca6cd29b-d1fc-11ed-a230-00155d82e902</v>
      </c>
      <c r="AA468" s="33">
        <v>160</v>
      </c>
      <c r="AB468" s="5"/>
      <c r="AC468" s="5" t="s">
        <v>86</v>
      </c>
      <c r="AD468" s="5"/>
      <c r="AE468" s="5" t="s">
        <v>49</v>
      </c>
      <c r="AF468" s="5"/>
      <c r="AG468" s="5"/>
      <c r="AH468" s="5" t="s">
        <v>1939</v>
      </c>
    </row>
    <row r="469" spans="2:34" ht="21" customHeight="1" outlineLevel="5" x14ac:dyDescent="0.2">
      <c r="B469" s="4">
        <v>336</v>
      </c>
      <c r="C469" s="5" t="s">
        <v>1976</v>
      </c>
      <c r="D469" s="5" t="s">
        <v>1977</v>
      </c>
      <c r="E469" s="6" t="s">
        <v>1978</v>
      </c>
      <c r="F469" s="10"/>
      <c r="G469" s="11" t="s">
        <v>1936</v>
      </c>
      <c r="H469" s="12">
        <v>10</v>
      </c>
      <c r="I469" s="13" t="s">
        <v>41</v>
      </c>
      <c r="J469" s="13"/>
      <c r="K469" s="13"/>
      <c r="L469" s="4">
        <v>3</v>
      </c>
      <c r="M469" s="14">
        <f>249*(1-P3/100)</f>
        <v>249</v>
      </c>
      <c r="N469" s="15"/>
      <c r="O469" s="13">
        <f t="shared" si="11"/>
        <v>0</v>
      </c>
      <c r="P469" s="22">
        <f>0.345*N469</f>
        <v>0</v>
      </c>
      <c r="Q469" s="23">
        <f>0.00061*N469</f>
        <v>0</v>
      </c>
      <c r="R469" s="24"/>
      <c r="S469" s="25" t="s">
        <v>1979</v>
      </c>
      <c r="T469" s="25" t="s">
        <v>94</v>
      </c>
      <c r="U469" s="5"/>
      <c r="V469" s="5"/>
      <c r="W469" s="5" t="s">
        <v>46</v>
      </c>
      <c r="X469" s="5" t="s">
        <v>1530</v>
      </c>
      <c r="Y469" s="5"/>
      <c r="Z469" s="5" t="str">
        <f>HYPERLINK("https://knigipp.ru/api/getInfo/image/346ca357-d1fc-11ed-a230-00155d82e902")</f>
        <v>https://knigipp.ru/api/getInfo/image/346ca357-d1fc-11ed-a230-00155d82e902</v>
      </c>
      <c r="AA469" s="33">
        <v>160</v>
      </c>
      <c r="AB469" s="5"/>
      <c r="AC469" s="5" t="s">
        <v>86</v>
      </c>
      <c r="AD469" s="5"/>
      <c r="AE469" s="5" t="s">
        <v>49</v>
      </c>
      <c r="AF469" s="5"/>
      <c r="AG469" s="5"/>
      <c r="AH469" s="5" t="s">
        <v>1939</v>
      </c>
    </row>
    <row r="470" spans="2:34" ht="21" customHeight="1" outlineLevel="5" x14ac:dyDescent="0.2">
      <c r="B470" s="4">
        <v>337</v>
      </c>
      <c r="C470" s="5" t="s">
        <v>1980</v>
      </c>
      <c r="D470" s="5" t="s">
        <v>1981</v>
      </c>
      <c r="E470" s="6" t="s">
        <v>1982</v>
      </c>
      <c r="F470" s="10"/>
      <c r="G470" s="11" t="s">
        <v>1936</v>
      </c>
      <c r="H470" s="12">
        <v>10</v>
      </c>
      <c r="I470" s="13" t="s">
        <v>41</v>
      </c>
      <c r="J470" s="13"/>
      <c r="K470" s="13"/>
      <c r="L470" s="4">
        <v>3</v>
      </c>
      <c r="M470" s="14">
        <f>249*(1-P3/100)</f>
        <v>249</v>
      </c>
      <c r="N470" s="15"/>
      <c r="O470" s="13">
        <f t="shared" si="11"/>
        <v>0</v>
      </c>
      <c r="P470" s="22">
        <f>0.333*N470</f>
        <v>0</v>
      </c>
      <c r="Q470" s="23">
        <f>0.00056*N470</f>
        <v>0</v>
      </c>
      <c r="R470" s="24"/>
      <c r="S470" s="25" t="s">
        <v>1983</v>
      </c>
      <c r="T470" s="25" t="s">
        <v>94</v>
      </c>
      <c r="U470" s="5"/>
      <c r="V470" s="5" t="s">
        <v>1984</v>
      </c>
      <c r="W470" s="5" t="s">
        <v>46</v>
      </c>
      <c r="X470" s="5" t="s">
        <v>1530</v>
      </c>
      <c r="Y470" s="5"/>
      <c r="Z470" s="5" t="str">
        <f>HYPERLINK("https://knigipp.ru/api/getInfo/image/5668a460-d1fc-11ed-a230-00155d82e902")</f>
        <v>https://knigipp.ru/api/getInfo/image/5668a460-d1fc-11ed-a230-00155d82e902</v>
      </c>
      <c r="AA470" s="33">
        <v>160</v>
      </c>
      <c r="AB470" s="5"/>
      <c r="AC470" s="5" t="s">
        <v>86</v>
      </c>
      <c r="AD470" s="5"/>
      <c r="AE470" s="5" t="s">
        <v>49</v>
      </c>
      <c r="AF470" s="5"/>
      <c r="AG470" s="5"/>
      <c r="AH470" s="5" t="s">
        <v>1939</v>
      </c>
    </row>
    <row r="471" spans="2:34" ht="21" customHeight="1" outlineLevel="5" x14ac:dyDescent="0.2">
      <c r="B471" s="4">
        <v>338</v>
      </c>
      <c r="C471" s="5" t="s">
        <v>1985</v>
      </c>
      <c r="D471" s="5" t="s">
        <v>1986</v>
      </c>
      <c r="E471" s="6" t="s">
        <v>1987</v>
      </c>
      <c r="F471" s="10"/>
      <c r="G471" s="11" t="s">
        <v>1936</v>
      </c>
      <c r="H471" s="12">
        <v>10</v>
      </c>
      <c r="I471" s="13" t="s">
        <v>41</v>
      </c>
      <c r="J471" s="13"/>
      <c r="K471" s="13"/>
      <c r="L471" s="4">
        <v>3</v>
      </c>
      <c r="M471" s="14">
        <f>249*(1-P3/100)</f>
        <v>249</v>
      </c>
      <c r="N471" s="15"/>
      <c r="O471" s="13">
        <f t="shared" si="11"/>
        <v>0</v>
      </c>
      <c r="P471" s="22">
        <f>0.333*N471</f>
        <v>0</v>
      </c>
      <c r="Q471" s="23">
        <f>0.00056*N471</f>
        <v>0</v>
      </c>
      <c r="R471" s="24"/>
      <c r="S471" s="25" t="s">
        <v>1988</v>
      </c>
      <c r="T471" s="25" t="s">
        <v>94</v>
      </c>
      <c r="U471" s="5"/>
      <c r="V471" s="5" t="s">
        <v>1989</v>
      </c>
      <c r="W471" s="5" t="s">
        <v>46</v>
      </c>
      <c r="X471" s="5" t="s">
        <v>1530</v>
      </c>
      <c r="Y471" s="5"/>
      <c r="Z471" s="5" t="str">
        <f>HYPERLINK("https://knigipp.ru/api/getInfo/image/4571a4cc-d1fb-11ed-a230-00155d82e902")</f>
        <v>https://knigipp.ru/api/getInfo/image/4571a4cc-d1fb-11ed-a230-00155d82e902</v>
      </c>
      <c r="AA471" s="33">
        <v>160</v>
      </c>
      <c r="AB471" s="5"/>
      <c r="AC471" s="5" t="s">
        <v>86</v>
      </c>
      <c r="AD471" s="5"/>
      <c r="AE471" s="5" t="s">
        <v>49</v>
      </c>
      <c r="AF471" s="5"/>
      <c r="AG471" s="5"/>
      <c r="AH471" s="5" t="s">
        <v>1939</v>
      </c>
    </row>
    <row r="472" spans="2:34" ht="22.95" customHeight="1" outlineLevel="4" x14ac:dyDescent="0.2">
      <c r="B472" s="75" t="s">
        <v>1990</v>
      </c>
      <c r="C472" s="75"/>
      <c r="D472" s="75"/>
    </row>
    <row r="473" spans="2:34" ht="21" customHeight="1" outlineLevel="5" x14ac:dyDescent="0.2">
      <c r="B473" s="4">
        <v>339</v>
      </c>
      <c r="C473" s="5" t="s">
        <v>1991</v>
      </c>
      <c r="D473" s="5" t="s">
        <v>1992</v>
      </c>
      <c r="E473" s="6" t="s">
        <v>1993</v>
      </c>
      <c r="F473" s="10"/>
      <c r="G473" s="11" t="s">
        <v>1994</v>
      </c>
      <c r="H473" s="12">
        <v>10</v>
      </c>
      <c r="I473" s="13" t="s">
        <v>41</v>
      </c>
      <c r="J473" s="13"/>
      <c r="K473" s="13"/>
      <c r="L473" s="4">
        <v>3</v>
      </c>
      <c r="M473" s="14">
        <f>213*(1-P3/100)</f>
        <v>213</v>
      </c>
      <c r="N473" s="15"/>
      <c r="O473" s="13">
        <f>M473*N473</f>
        <v>0</v>
      </c>
      <c r="P473" s="13">
        <v>0</v>
      </c>
      <c r="Q473" s="13">
        <v>0</v>
      </c>
      <c r="R473" s="24"/>
      <c r="S473" s="25" t="s">
        <v>1995</v>
      </c>
      <c r="T473" s="25" t="s">
        <v>94</v>
      </c>
      <c r="U473" s="5"/>
      <c r="V473" s="5"/>
      <c r="W473" s="5" t="s">
        <v>46</v>
      </c>
      <c r="X473" s="5"/>
      <c r="Y473" s="5"/>
      <c r="Z473" s="5" t="str">
        <f>HYPERLINK("https://knigipp.ru/api/getInfo/image/9e9ba57d-6972-11ed-a22a-00155d82e902")</f>
        <v>https://knigipp.ru/api/getInfo/image/9e9ba57d-6972-11ed-a22a-00155d82e902</v>
      </c>
      <c r="AA473" s="33">
        <v>128</v>
      </c>
      <c r="AB473" s="5" t="s">
        <v>1768</v>
      </c>
      <c r="AC473" s="5" t="s">
        <v>86</v>
      </c>
      <c r="AD473" s="33">
        <v>120</v>
      </c>
      <c r="AE473" s="5" t="s">
        <v>49</v>
      </c>
      <c r="AF473" s="5"/>
      <c r="AG473" s="5"/>
      <c r="AH473" s="5" t="s">
        <v>1996</v>
      </c>
    </row>
    <row r="474" spans="2:34" ht="21" customHeight="1" outlineLevel="5" x14ac:dyDescent="0.2">
      <c r="B474" s="4">
        <v>340</v>
      </c>
      <c r="C474" s="5" t="s">
        <v>1997</v>
      </c>
      <c r="D474" s="5" t="s">
        <v>1998</v>
      </c>
      <c r="E474" s="6" t="s">
        <v>1999</v>
      </c>
      <c r="F474" s="10"/>
      <c r="G474" s="11" t="s">
        <v>1994</v>
      </c>
      <c r="H474" s="12">
        <v>10</v>
      </c>
      <c r="I474" s="13" t="s">
        <v>41</v>
      </c>
      <c r="J474" s="13"/>
      <c r="K474" s="13"/>
      <c r="L474" s="4">
        <v>3</v>
      </c>
      <c r="M474" s="14">
        <f>213*(1-P3/100)</f>
        <v>213</v>
      </c>
      <c r="N474" s="15"/>
      <c r="O474" s="13">
        <f>M474*N474</f>
        <v>0</v>
      </c>
      <c r="P474" s="13">
        <v>0</v>
      </c>
      <c r="Q474" s="13">
        <v>0</v>
      </c>
      <c r="R474" s="24"/>
      <c r="S474" s="25" t="s">
        <v>2000</v>
      </c>
      <c r="T474" s="25" t="s">
        <v>94</v>
      </c>
      <c r="U474" s="5"/>
      <c r="V474" s="5"/>
      <c r="W474" s="5" t="s">
        <v>46</v>
      </c>
      <c r="X474" s="5"/>
      <c r="Y474" s="5"/>
      <c r="Z474" s="5" t="str">
        <f>HYPERLINK("https://knigipp.ru/api/getInfo/image/5a254a24-6972-11ed-a22a-00155d82e902")</f>
        <v>https://knigipp.ru/api/getInfo/image/5a254a24-6972-11ed-a22a-00155d82e902</v>
      </c>
      <c r="AA474" s="33">
        <v>128</v>
      </c>
      <c r="AB474" s="5" t="s">
        <v>1768</v>
      </c>
      <c r="AC474" s="5" t="s">
        <v>86</v>
      </c>
      <c r="AD474" s="33">
        <v>120</v>
      </c>
      <c r="AE474" s="5" t="s">
        <v>49</v>
      </c>
      <c r="AF474" s="5"/>
      <c r="AG474" s="5"/>
      <c r="AH474" s="5" t="s">
        <v>1996</v>
      </c>
    </row>
    <row r="475" spans="2:34" ht="21" customHeight="1" outlineLevel="5" x14ac:dyDescent="0.2">
      <c r="B475" s="4">
        <v>341</v>
      </c>
      <c r="C475" s="5" t="s">
        <v>2001</v>
      </c>
      <c r="D475" s="5" t="s">
        <v>2002</v>
      </c>
      <c r="E475" s="6" t="s">
        <v>2003</v>
      </c>
      <c r="F475" s="10"/>
      <c r="G475" s="11" t="s">
        <v>1994</v>
      </c>
      <c r="H475" s="12">
        <v>10</v>
      </c>
      <c r="I475" s="13" t="s">
        <v>41</v>
      </c>
      <c r="J475" s="13"/>
      <c r="K475" s="13"/>
      <c r="L475" s="4">
        <v>3</v>
      </c>
      <c r="M475" s="14">
        <f>213*(1-P3/100)</f>
        <v>213</v>
      </c>
      <c r="N475" s="15"/>
      <c r="O475" s="13">
        <f>M475*N475</f>
        <v>0</v>
      </c>
      <c r="P475" s="13">
        <v>0</v>
      </c>
      <c r="Q475" s="13">
        <v>0</v>
      </c>
      <c r="R475" s="24"/>
      <c r="S475" s="25" t="s">
        <v>2004</v>
      </c>
      <c r="T475" s="25" t="s">
        <v>94</v>
      </c>
      <c r="U475" s="5"/>
      <c r="V475" s="5"/>
      <c r="W475" s="5" t="s">
        <v>46</v>
      </c>
      <c r="X475" s="5"/>
      <c r="Y475" s="5"/>
      <c r="Z475" s="5" t="str">
        <f>HYPERLINK("https://knigipp.ru/api/getInfo/image/cae6ebb0-6972-11ed-a22a-00155d82e902")</f>
        <v>https://knigipp.ru/api/getInfo/image/cae6ebb0-6972-11ed-a22a-00155d82e902</v>
      </c>
      <c r="AA475" s="33">
        <v>128</v>
      </c>
      <c r="AB475" s="5" t="s">
        <v>1768</v>
      </c>
      <c r="AC475" s="5" t="s">
        <v>86</v>
      </c>
      <c r="AD475" s="33">
        <v>120</v>
      </c>
      <c r="AE475" s="5" t="s">
        <v>49</v>
      </c>
      <c r="AF475" s="5"/>
      <c r="AG475" s="5"/>
      <c r="AH475" s="5" t="s">
        <v>1996</v>
      </c>
    </row>
    <row r="476" spans="2:34" ht="22.95" customHeight="1" outlineLevel="4" x14ac:dyDescent="0.2">
      <c r="B476" s="75" t="s">
        <v>2005</v>
      </c>
      <c r="C476" s="75"/>
      <c r="D476" s="75"/>
    </row>
    <row r="477" spans="2:34" ht="21" customHeight="1" outlineLevel="5" x14ac:dyDescent="0.2">
      <c r="B477" s="4">
        <v>342</v>
      </c>
      <c r="C477" s="5" t="s">
        <v>2006</v>
      </c>
      <c r="D477" s="5" t="s">
        <v>2007</v>
      </c>
      <c r="E477" s="6" t="s">
        <v>2008</v>
      </c>
      <c r="F477" s="10"/>
      <c r="G477" s="11" t="s">
        <v>2009</v>
      </c>
      <c r="H477" s="12">
        <v>10</v>
      </c>
      <c r="I477" s="13" t="s">
        <v>371</v>
      </c>
      <c r="J477" s="13"/>
      <c r="K477" s="13"/>
      <c r="L477" s="4">
        <v>3</v>
      </c>
      <c r="M477" s="14">
        <f>209*(1-P3/100)</f>
        <v>209</v>
      </c>
      <c r="N477" s="15"/>
      <c r="O477" s="13">
        <f>M477*N477</f>
        <v>0</v>
      </c>
      <c r="P477" s="22">
        <f>0.369*N477</f>
        <v>0</v>
      </c>
      <c r="Q477" s="23">
        <f>0.00039*N477</f>
        <v>0</v>
      </c>
      <c r="R477" s="24"/>
      <c r="S477" s="25" t="s">
        <v>2010</v>
      </c>
      <c r="T477" s="25" t="s">
        <v>94</v>
      </c>
      <c r="U477" s="5"/>
      <c r="V477" s="5"/>
      <c r="W477" s="5" t="s">
        <v>46</v>
      </c>
      <c r="X477" s="5"/>
      <c r="Y477" s="5"/>
      <c r="Z477" s="5" t="str">
        <f>HYPERLINK("https://knigipp.ru/api/getInfo/image/98bac7d9-4864-11ed-a216-ac1f6b442185")</f>
        <v>https://knigipp.ru/api/getInfo/image/98bac7d9-4864-11ed-a216-ac1f6b442185</v>
      </c>
      <c r="AA477" s="33">
        <v>128</v>
      </c>
      <c r="AB477" s="5" t="s">
        <v>1768</v>
      </c>
      <c r="AC477" s="5" t="s">
        <v>86</v>
      </c>
      <c r="AD477" s="33">
        <v>90</v>
      </c>
      <c r="AE477" s="5" t="s">
        <v>49</v>
      </c>
      <c r="AF477" s="5"/>
      <c r="AG477" s="5"/>
      <c r="AH477" s="5" t="s">
        <v>2011</v>
      </c>
    </row>
    <row r="478" spans="2:34" ht="21" customHeight="1" outlineLevel="5" x14ac:dyDescent="0.2">
      <c r="B478" s="4">
        <v>343</v>
      </c>
      <c r="C478" s="5" t="s">
        <v>2012</v>
      </c>
      <c r="D478" s="5" t="s">
        <v>2013</v>
      </c>
      <c r="E478" s="6" t="s">
        <v>2014</v>
      </c>
      <c r="F478" s="10"/>
      <c r="G478" s="11" t="s">
        <v>2015</v>
      </c>
      <c r="H478" s="12">
        <v>10</v>
      </c>
      <c r="I478" s="13" t="s">
        <v>41</v>
      </c>
      <c r="J478" s="13"/>
      <c r="K478" s="13"/>
      <c r="L478" s="4">
        <v>3</v>
      </c>
      <c r="M478" s="14">
        <f>209*(1-P3/100)</f>
        <v>209</v>
      </c>
      <c r="N478" s="15"/>
      <c r="O478" s="13">
        <f>M478*N478</f>
        <v>0</v>
      </c>
      <c r="P478" s="13">
        <v>0</v>
      </c>
      <c r="Q478" s="13">
        <v>0</v>
      </c>
      <c r="R478" s="24"/>
      <c r="S478" s="25" t="s">
        <v>2016</v>
      </c>
      <c r="T478" s="25" t="s">
        <v>94</v>
      </c>
      <c r="U478" s="5"/>
      <c r="V478" s="5"/>
      <c r="W478" s="5" t="s">
        <v>46</v>
      </c>
      <c r="X478" s="5"/>
      <c r="Y478" s="5"/>
      <c r="Z478" s="5" t="str">
        <f>HYPERLINK("https://knigipp.ru/api/getInfo/image/67a75204-4864-11ed-a216-ac1f6b442185")</f>
        <v>https://knigipp.ru/api/getInfo/image/67a75204-4864-11ed-a216-ac1f6b442185</v>
      </c>
      <c r="AA478" s="33">
        <v>128</v>
      </c>
      <c r="AB478" s="5"/>
      <c r="AC478" s="5" t="s">
        <v>86</v>
      </c>
      <c r="AD478" s="33">
        <v>90</v>
      </c>
      <c r="AE478" s="5" t="s">
        <v>49</v>
      </c>
      <c r="AF478" s="5"/>
      <c r="AG478" s="5"/>
      <c r="AH478" s="5" t="s">
        <v>2011</v>
      </c>
    </row>
    <row r="479" spans="2:34" ht="21" customHeight="1" outlineLevel="5" x14ac:dyDescent="0.2">
      <c r="B479" s="4">
        <v>344</v>
      </c>
      <c r="C479" s="5" t="s">
        <v>2017</v>
      </c>
      <c r="D479" s="5" t="s">
        <v>2018</v>
      </c>
      <c r="E479" s="6" t="s">
        <v>2019</v>
      </c>
      <c r="F479" s="10"/>
      <c r="G479" s="11" t="s">
        <v>2015</v>
      </c>
      <c r="H479" s="12">
        <v>10</v>
      </c>
      <c r="I479" s="13" t="s">
        <v>41</v>
      </c>
      <c r="J479" s="13"/>
      <c r="K479" s="13"/>
      <c r="L479" s="4">
        <v>3</v>
      </c>
      <c r="M479" s="14">
        <f>209*(1-P3/100)</f>
        <v>209</v>
      </c>
      <c r="N479" s="15"/>
      <c r="O479" s="13">
        <f>M479*N479</f>
        <v>0</v>
      </c>
      <c r="P479" s="32">
        <f>0.37*N479</f>
        <v>0</v>
      </c>
      <c r="Q479" s="23">
        <f>0.00078*N479</f>
        <v>0</v>
      </c>
      <c r="R479" s="24"/>
      <c r="S479" s="25" t="s">
        <v>2020</v>
      </c>
      <c r="T479" s="25" t="s">
        <v>94</v>
      </c>
      <c r="U479" s="5"/>
      <c r="V479" s="5"/>
      <c r="W479" s="5" t="s">
        <v>46</v>
      </c>
      <c r="X479" s="5"/>
      <c r="Y479" s="5"/>
      <c r="Z479" s="5" t="str">
        <f>HYPERLINK("https://knigipp.ru/api/getInfo/image/4035604b-a382-11ed-a22f-00155d82e902")</f>
        <v>https://knigipp.ru/api/getInfo/image/4035604b-a382-11ed-a22f-00155d82e902</v>
      </c>
      <c r="AA479" s="33">
        <v>128</v>
      </c>
      <c r="AB479" s="5" t="s">
        <v>1768</v>
      </c>
      <c r="AC479" s="5" t="s">
        <v>86</v>
      </c>
      <c r="AD479" s="33">
        <v>90</v>
      </c>
      <c r="AE479" s="5" t="s">
        <v>49</v>
      </c>
      <c r="AF479" s="5"/>
      <c r="AG479" s="5"/>
      <c r="AH479" s="5" t="s">
        <v>2011</v>
      </c>
    </row>
    <row r="480" spans="2:34" ht="21" customHeight="1" outlineLevel="5" x14ac:dyDescent="0.2">
      <c r="B480" s="4">
        <v>345</v>
      </c>
      <c r="C480" s="5" t="s">
        <v>2021</v>
      </c>
      <c r="D480" s="5" t="s">
        <v>2022</v>
      </c>
      <c r="E480" s="6" t="s">
        <v>2023</v>
      </c>
      <c r="F480" s="10"/>
      <c r="G480" s="11" t="s">
        <v>2009</v>
      </c>
      <c r="H480" s="12">
        <v>10</v>
      </c>
      <c r="I480" s="13" t="s">
        <v>371</v>
      </c>
      <c r="J480" s="13"/>
      <c r="K480" s="13"/>
      <c r="L480" s="4">
        <v>3</v>
      </c>
      <c r="M480" s="14">
        <f>209*(1-P3/100)</f>
        <v>209</v>
      </c>
      <c r="N480" s="15"/>
      <c r="O480" s="13">
        <f>M480*N480</f>
        <v>0</v>
      </c>
      <c r="P480" s="22">
        <f>0.367*N480</f>
        <v>0</v>
      </c>
      <c r="Q480" s="23">
        <f>0.00059*N480</f>
        <v>0</v>
      </c>
      <c r="R480" s="24"/>
      <c r="S480" s="25" t="s">
        <v>2024</v>
      </c>
      <c r="T480" s="25" t="s">
        <v>94</v>
      </c>
      <c r="U480" s="5"/>
      <c r="V480" s="5"/>
      <c r="W480" s="5" t="s">
        <v>46</v>
      </c>
      <c r="X480" s="5"/>
      <c r="Y480" s="5"/>
      <c r="Z480" s="5" t="str">
        <f>HYPERLINK("https://knigipp.ru/api/getInfo/image/de98bf17-4863-11ed-a216-ac1f6b442185")</f>
        <v>https://knigipp.ru/api/getInfo/image/de98bf17-4863-11ed-a216-ac1f6b442185</v>
      </c>
      <c r="AA480" s="33">
        <v>128</v>
      </c>
      <c r="AB480" s="5" t="s">
        <v>1768</v>
      </c>
      <c r="AC480" s="5" t="s">
        <v>86</v>
      </c>
      <c r="AD480" s="33">
        <v>90</v>
      </c>
      <c r="AE480" s="5" t="s">
        <v>49</v>
      </c>
      <c r="AF480" s="5"/>
      <c r="AG480" s="5"/>
      <c r="AH480" s="5" t="s">
        <v>2011</v>
      </c>
    </row>
    <row r="481" spans="2:34" ht="21" customHeight="1" outlineLevel="5" x14ac:dyDescent="0.2">
      <c r="B481" s="4">
        <v>346</v>
      </c>
      <c r="C481" s="5" t="s">
        <v>2025</v>
      </c>
      <c r="D481" s="5" t="s">
        <v>2026</v>
      </c>
      <c r="E481" s="6" t="s">
        <v>2027</v>
      </c>
      <c r="F481" s="10"/>
      <c r="G481" s="11" t="s">
        <v>2015</v>
      </c>
      <c r="H481" s="12">
        <v>10</v>
      </c>
      <c r="I481" s="13" t="s">
        <v>41</v>
      </c>
      <c r="J481" s="13"/>
      <c r="K481" s="13"/>
      <c r="L481" s="4">
        <v>3</v>
      </c>
      <c r="M481" s="14">
        <f>209*(1-P3/100)</f>
        <v>209</v>
      </c>
      <c r="N481" s="15"/>
      <c r="O481" s="13">
        <f>M481*N481</f>
        <v>0</v>
      </c>
      <c r="P481" s="32">
        <f>0.37*N481</f>
        <v>0</v>
      </c>
      <c r="Q481" s="23">
        <f>0.00056*N481</f>
        <v>0</v>
      </c>
      <c r="R481" s="24"/>
      <c r="S481" s="25" t="s">
        <v>2028</v>
      </c>
      <c r="T481" s="25" t="s">
        <v>94</v>
      </c>
      <c r="U481" s="5"/>
      <c r="V481" s="5"/>
      <c r="W481" s="5" t="s">
        <v>46</v>
      </c>
      <c r="X481" s="5"/>
      <c r="Y481" s="5"/>
      <c r="Z481" s="5" t="str">
        <f>HYPERLINK("https://knigipp.ru/api/getInfo/image/d10a05e7-a382-11ed-a22f-00155d82e902")</f>
        <v>https://knigipp.ru/api/getInfo/image/d10a05e7-a382-11ed-a22f-00155d82e902</v>
      </c>
      <c r="AA481" s="33">
        <v>128</v>
      </c>
      <c r="AB481" s="5" t="s">
        <v>1768</v>
      </c>
      <c r="AC481" s="5" t="s">
        <v>86</v>
      </c>
      <c r="AD481" s="33">
        <v>90</v>
      </c>
      <c r="AE481" s="5" t="s">
        <v>49</v>
      </c>
      <c r="AF481" s="5"/>
      <c r="AG481" s="5"/>
      <c r="AH481" s="5" t="s">
        <v>2011</v>
      </c>
    </row>
    <row r="482" spans="2:34" ht="22.95" customHeight="1" outlineLevel="4" x14ac:dyDescent="0.2">
      <c r="B482" s="75" t="s">
        <v>2029</v>
      </c>
      <c r="C482" s="75"/>
      <c r="D482" s="75"/>
    </row>
    <row r="483" spans="2:34" ht="21" customHeight="1" outlineLevel="5" x14ac:dyDescent="0.2">
      <c r="B483" s="4">
        <v>347</v>
      </c>
      <c r="C483" s="5" t="s">
        <v>2030</v>
      </c>
      <c r="D483" s="5" t="s">
        <v>2031</v>
      </c>
      <c r="E483" s="6" t="s">
        <v>2032</v>
      </c>
      <c r="F483" s="10"/>
      <c r="G483" s="11" t="s">
        <v>2033</v>
      </c>
      <c r="H483" s="12">
        <v>20</v>
      </c>
      <c r="I483" s="13" t="s">
        <v>41</v>
      </c>
      <c r="J483" s="13"/>
      <c r="K483" s="13"/>
      <c r="L483" s="4">
        <v>3</v>
      </c>
      <c r="M483" s="14">
        <f>199*(1-P3/100)</f>
        <v>199</v>
      </c>
      <c r="N483" s="15"/>
      <c r="O483" s="13">
        <f>M483*N483</f>
        <v>0</v>
      </c>
      <c r="P483" s="13">
        <v>0</v>
      </c>
      <c r="Q483" s="13">
        <v>0</v>
      </c>
      <c r="R483" s="24"/>
      <c r="S483" s="25" t="s">
        <v>2034</v>
      </c>
      <c r="T483" s="25" t="s">
        <v>94</v>
      </c>
      <c r="U483" s="5"/>
      <c r="V483" s="5"/>
      <c r="W483" s="5" t="s">
        <v>46</v>
      </c>
      <c r="X483" s="5"/>
      <c r="Y483" s="5"/>
      <c r="Z483" s="5" t="str">
        <f>HYPERLINK("https://knigipp.ru/api/getInfo/image/212fc294-4548-11ed-a216-ac1f6b442185")</f>
        <v>https://knigipp.ru/api/getInfo/image/212fc294-4548-11ed-a216-ac1f6b442185</v>
      </c>
      <c r="AA483" s="33">
        <v>80</v>
      </c>
      <c r="AB483" s="5" t="s">
        <v>598</v>
      </c>
      <c r="AC483" s="5" t="s">
        <v>86</v>
      </c>
      <c r="AD483" s="33">
        <v>120</v>
      </c>
      <c r="AE483" s="5" t="s">
        <v>49</v>
      </c>
      <c r="AF483" s="5"/>
      <c r="AG483" s="5"/>
      <c r="AH483" s="5" t="s">
        <v>2035</v>
      </c>
    </row>
    <row r="484" spans="2:34" ht="21" customHeight="1" outlineLevel="5" x14ac:dyDescent="0.2">
      <c r="B484" s="4">
        <v>348</v>
      </c>
      <c r="C484" s="5" t="s">
        <v>2036</v>
      </c>
      <c r="D484" s="5" t="s">
        <v>2037</v>
      </c>
      <c r="E484" s="6" t="s">
        <v>2038</v>
      </c>
      <c r="F484" s="10"/>
      <c r="G484" s="11" t="s">
        <v>2033</v>
      </c>
      <c r="H484" s="12">
        <v>20</v>
      </c>
      <c r="I484" s="13" t="s">
        <v>371</v>
      </c>
      <c r="J484" s="13"/>
      <c r="K484" s="13"/>
      <c r="L484" s="4">
        <v>3</v>
      </c>
      <c r="M484" s="14">
        <f>199*(1-P3/100)</f>
        <v>199</v>
      </c>
      <c r="N484" s="15"/>
      <c r="O484" s="13">
        <f>M484*N484</f>
        <v>0</v>
      </c>
      <c r="P484" s="22">
        <f>0.192*N484</f>
        <v>0</v>
      </c>
      <c r="Q484" s="23">
        <f>0.00032*N484</f>
        <v>0</v>
      </c>
      <c r="R484" s="24"/>
      <c r="S484" s="25" t="s">
        <v>2039</v>
      </c>
      <c r="T484" s="25" t="s">
        <v>94</v>
      </c>
      <c r="U484" s="5"/>
      <c r="V484" s="5"/>
      <c r="W484" s="5" t="s">
        <v>46</v>
      </c>
      <c r="X484" s="5"/>
      <c r="Y484" s="5"/>
      <c r="Z484" s="5" t="str">
        <f>HYPERLINK("https://knigipp.ru/api/getInfo/image/d4cf3cea-4548-11ed-a216-ac1f6b442185")</f>
        <v>https://knigipp.ru/api/getInfo/image/d4cf3cea-4548-11ed-a216-ac1f6b442185</v>
      </c>
      <c r="AA484" s="33">
        <v>80</v>
      </c>
      <c r="AB484" s="5" t="s">
        <v>598</v>
      </c>
      <c r="AC484" s="5" t="s">
        <v>86</v>
      </c>
      <c r="AD484" s="33">
        <v>120</v>
      </c>
      <c r="AE484" s="5" t="s">
        <v>49</v>
      </c>
      <c r="AF484" s="5"/>
      <c r="AG484" s="5"/>
      <c r="AH484" s="5" t="s">
        <v>2035</v>
      </c>
    </row>
    <row r="485" spans="2:34" ht="21" customHeight="1" outlineLevel="5" x14ac:dyDescent="0.2">
      <c r="B485" s="4">
        <v>349</v>
      </c>
      <c r="C485" s="5" t="s">
        <v>2040</v>
      </c>
      <c r="D485" s="5" t="s">
        <v>2041</v>
      </c>
      <c r="E485" s="6" t="s">
        <v>2042</v>
      </c>
      <c r="F485" s="10"/>
      <c r="G485" s="11" t="s">
        <v>2033</v>
      </c>
      <c r="H485" s="12">
        <v>20</v>
      </c>
      <c r="I485" s="13" t="s">
        <v>371</v>
      </c>
      <c r="J485" s="13"/>
      <c r="K485" s="13"/>
      <c r="L485" s="4">
        <v>3</v>
      </c>
      <c r="M485" s="14">
        <f>199*(1-P3/100)</f>
        <v>199</v>
      </c>
      <c r="N485" s="15"/>
      <c r="O485" s="13">
        <f>M485*N485</f>
        <v>0</v>
      </c>
      <c r="P485" s="22">
        <f>0.193*N485</f>
        <v>0</v>
      </c>
      <c r="Q485" s="23">
        <f>0.00037*N485</f>
        <v>0</v>
      </c>
      <c r="R485" s="24"/>
      <c r="S485" s="25" t="s">
        <v>2043</v>
      </c>
      <c r="T485" s="25" t="s">
        <v>94</v>
      </c>
      <c r="U485" s="5"/>
      <c r="V485" s="5"/>
      <c r="W485" s="5" t="s">
        <v>46</v>
      </c>
      <c r="X485" s="5"/>
      <c r="Y485" s="5"/>
      <c r="Z485" s="5" t="str">
        <f>HYPERLINK("https://knigipp.ru/api/getInfo/image/00ba11bf-4549-11ed-a216-ac1f6b442185")</f>
        <v>https://knigipp.ru/api/getInfo/image/00ba11bf-4549-11ed-a216-ac1f6b442185</v>
      </c>
      <c r="AA485" s="33">
        <v>80</v>
      </c>
      <c r="AB485" s="5" t="s">
        <v>598</v>
      </c>
      <c r="AC485" s="5" t="s">
        <v>86</v>
      </c>
      <c r="AD485" s="33">
        <v>120</v>
      </c>
      <c r="AE485" s="5" t="s">
        <v>49</v>
      </c>
      <c r="AF485" s="5"/>
      <c r="AG485" s="5"/>
      <c r="AH485" s="5" t="s">
        <v>2035</v>
      </c>
    </row>
    <row r="486" spans="2:34" ht="22.95" customHeight="1" outlineLevel="3" x14ac:dyDescent="0.2">
      <c r="B486" s="74" t="s">
        <v>2044</v>
      </c>
      <c r="C486" s="74"/>
      <c r="D486" s="74"/>
    </row>
    <row r="487" spans="2:34" ht="21" customHeight="1" outlineLevel="4" x14ac:dyDescent="0.2">
      <c r="B487" s="4">
        <v>350</v>
      </c>
      <c r="C487" s="5" t="s">
        <v>2045</v>
      </c>
      <c r="D487" s="5" t="s">
        <v>2046</v>
      </c>
      <c r="E487" s="6" t="s">
        <v>2047</v>
      </c>
      <c r="F487" s="10"/>
      <c r="G487" s="11" t="s">
        <v>2048</v>
      </c>
      <c r="H487" s="12">
        <v>8</v>
      </c>
      <c r="I487" s="13" t="s">
        <v>41</v>
      </c>
      <c r="J487" s="13"/>
      <c r="K487" s="13"/>
      <c r="L487" s="4">
        <v>2</v>
      </c>
      <c r="M487" s="14">
        <f>399*(1-P3/100)</f>
        <v>399</v>
      </c>
      <c r="N487" s="15"/>
      <c r="O487" s="13">
        <f t="shared" ref="O487:O495" si="12">M487*N487</f>
        <v>0</v>
      </c>
      <c r="P487" s="22">
        <f>0.631*N487</f>
        <v>0</v>
      </c>
      <c r="Q487" s="30">
        <f>0.0011*N487</f>
        <v>0</v>
      </c>
      <c r="R487" s="24"/>
      <c r="S487" s="25" t="s">
        <v>2049</v>
      </c>
      <c r="T487" s="25" t="s">
        <v>94</v>
      </c>
      <c r="U487" s="5"/>
      <c r="V487" s="5" t="s">
        <v>2050</v>
      </c>
      <c r="W487" s="5" t="s">
        <v>46</v>
      </c>
      <c r="X487" s="5"/>
      <c r="Y487" s="5"/>
      <c r="Z487" s="5" t="str">
        <f>HYPERLINK("https://knigipp.ru/api/getInfo/image/910e4b95-9280-11ed-a22c-00155d82e902")</f>
        <v>https://knigipp.ru/api/getInfo/image/910e4b95-9280-11ed-a22c-00155d82e902</v>
      </c>
      <c r="AA487" s="33">
        <v>128</v>
      </c>
      <c r="AB487" s="5" t="s">
        <v>598</v>
      </c>
      <c r="AC487" s="5" t="s">
        <v>86</v>
      </c>
      <c r="AD487" s="33">
        <v>120</v>
      </c>
      <c r="AE487" s="5" t="s">
        <v>49</v>
      </c>
      <c r="AF487" s="5"/>
      <c r="AG487" s="5"/>
      <c r="AH487" s="5" t="s">
        <v>2051</v>
      </c>
    </row>
    <row r="488" spans="2:34" ht="21" customHeight="1" outlineLevel="4" x14ac:dyDescent="0.2">
      <c r="B488" s="4">
        <v>351</v>
      </c>
      <c r="C488" s="5" t="s">
        <v>2052</v>
      </c>
      <c r="D488" s="5" t="s">
        <v>2053</v>
      </c>
      <c r="E488" s="6" t="s">
        <v>2054</v>
      </c>
      <c r="F488" s="10"/>
      <c r="G488" s="11" t="s">
        <v>2048</v>
      </c>
      <c r="H488" s="12">
        <v>8</v>
      </c>
      <c r="I488" s="13" t="s">
        <v>41</v>
      </c>
      <c r="J488" s="13"/>
      <c r="K488" s="13"/>
      <c r="L488" s="4">
        <v>2</v>
      </c>
      <c r="M488" s="14">
        <f>399*(1-P3/100)</f>
        <v>399</v>
      </c>
      <c r="N488" s="15"/>
      <c r="O488" s="13">
        <f t="shared" si="12"/>
        <v>0</v>
      </c>
      <c r="P488" s="22">
        <f>0.639*N488</f>
        <v>0</v>
      </c>
      <c r="Q488" s="30">
        <f>0.0011*N488</f>
        <v>0</v>
      </c>
      <c r="R488" s="24"/>
      <c r="S488" s="25" t="s">
        <v>2055</v>
      </c>
      <c r="T488" s="25" t="s">
        <v>94</v>
      </c>
      <c r="U488" s="5"/>
      <c r="V488" s="5" t="s">
        <v>2056</v>
      </c>
      <c r="W488" s="5" t="s">
        <v>46</v>
      </c>
      <c r="X488" s="5"/>
      <c r="Y488" s="5"/>
      <c r="Z488" s="5" t="str">
        <f>HYPERLINK("https://knigipp.ru/api/getInfo/image/8c01788f-e8ba-11ed-a233-00155d82e902")</f>
        <v>https://knigipp.ru/api/getInfo/image/8c01788f-e8ba-11ed-a233-00155d82e902</v>
      </c>
      <c r="AA488" s="33">
        <v>128</v>
      </c>
      <c r="AB488" s="5" t="s">
        <v>574</v>
      </c>
      <c r="AC488" s="5" t="s">
        <v>86</v>
      </c>
      <c r="AD488" s="33">
        <v>120</v>
      </c>
      <c r="AE488" s="5" t="s">
        <v>49</v>
      </c>
      <c r="AF488" s="5"/>
      <c r="AG488" s="5"/>
      <c r="AH488" s="5" t="s">
        <v>2057</v>
      </c>
    </row>
    <row r="489" spans="2:34" ht="21" customHeight="1" outlineLevel="4" x14ac:dyDescent="0.2">
      <c r="B489" s="4">
        <v>352</v>
      </c>
      <c r="C489" s="5" t="s">
        <v>2058</v>
      </c>
      <c r="D489" s="5" t="s">
        <v>2059</v>
      </c>
      <c r="E489" s="6" t="s">
        <v>2060</v>
      </c>
      <c r="F489" s="10"/>
      <c r="G489" s="11" t="s">
        <v>2061</v>
      </c>
      <c r="H489" s="12">
        <v>8</v>
      </c>
      <c r="I489" s="13" t="s">
        <v>41</v>
      </c>
      <c r="J489" s="13"/>
      <c r="K489" s="13"/>
      <c r="L489" s="4">
        <v>2</v>
      </c>
      <c r="M489" s="14">
        <f>399*(1-P3/100)</f>
        <v>399</v>
      </c>
      <c r="N489" s="15"/>
      <c r="O489" s="13">
        <f t="shared" si="12"/>
        <v>0</v>
      </c>
      <c r="P489" s="22">
        <f>0.639*N489</f>
        <v>0</v>
      </c>
      <c r="Q489" s="23">
        <f>0.00127*N489</f>
        <v>0</v>
      </c>
      <c r="R489" s="24"/>
      <c r="S489" s="25" t="s">
        <v>2062</v>
      </c>
      <c r="T489" s="25" t="s">
        <v>94</v>
      </c>
      <c r="U489" s="5"/>
      <c r="V489" s="5" t="s">
        <v>2063</v>
      </c>
      <c r="W489" s="5" t="s">
        <v>46</v>
      </c>
      <c r="X489" s="5"/>
      <c r="Y489" s="5"/>
      <c r="Z489" s="5" t="str">
        <f>HYPERLINK("https://knigipp.ru/api/getInfo/image/c992e242-7f7c-11ec-a211-ac1f6b442185")</f>
        <v>https://knigipp.ru/api/getInfo/image/c992e242-7f7c-11ec-a211-ac1f6b442185</v>
      </c>
      <c r="AA489" s="33">
        <v>128</v>
      </c>
      <c r="AB489" s="5"/>
      <c r="AC489" s="5" t="s">
        <v>86</v>
      </c>
      <c r="AD489" s="33">
        <v>120</v>
      </c>
      <c r="AE489" s="5" t="s">
        <v>49</v>
      </c>
      <c r="AF489" s="5"/>
      <c r="AG489" s="5"/>
      <c r="AH489" s="5" t="s">
        <v>2051</v>
      </c>
    </row>
    <row r="490" spans="2:34" ht="21" customHeight="1" outlineLevel="4" x14ac:dyDescent="0.2">
      <c r="B490" s="4">
        <v>353</v>
      </c>
      <c r="C490" s="5" t="s">
        <v>2064</v>
      </c>
      <c r="D490" s="5" t="s">
        <v>2065</v>
      </c>
      <c r="E490" s="6" t="s">
        <v>2066</v>
      </c>
      <c r="F490" s="10"/>
      <c r="G490" s="11" t="s">
        <v>2061</v>
      </c>
      <c r="H490" s="12">
        <v>8</v>
      </c>
      <c r="I490" s="13" t="s">
        <v>41</v>
      </c>
      <c r="J490" s="13"/>
      <c r="K490" s="13"/>
      <c r="L490" s="4">
        <v>2</v>
      </c>
      <c r="M490" s="14">
        <f>399*(1-P3/100)</f>
        <v>399</v>
      </c>
      <c r="N490" s="15"/>
      <c r="O490" s="13">
        <f t="shared" si="12"/>
        <v>0</v>
      </c>
      <c r="P490" s="22">
        <f>0.636*N490</f>
        <v>0</v>
      </c>
      <c r="Q490" s="23">
        <f>0.00107*N490</f>
        <v>0</v>
      </c>
      <c r="R490" s="24"/>
      <c r="S490" s="25" t="s">
        <v>2067</v>
      </c>
      <c r="T490" s="25" t="s">
        <v>94</v>
      </c>
      <c r="U490" s="5"/>
      <c r="V490" s="5" t="s">
        <v>2068</v>
      </c>
      <c r="W490" s="5" t="s">
        <v>46</v>
      </c>
      <c r="X490" s="5"/>
      <c r="Y490" s="5"/>
      <c r="Z490" s="5" t="str">
        <f>HYPERLINK("https://knigipp.ru/api/getInfo/image/42ff16df-3bb0-11eb-a25e-ac1f6b442184")</f>
        <v>https://knigipp.ru/api/getInfo/image/42ff16df-3bb0-11eb-a25e-ac1f6b442184</v>
      </c>
      <c r="AA490" s="33">
        <v>128</v>
      </c>
      <c r="AB490" s="5"/>
      <c r="AC490" s="5" t="s">
        <v>86</v>
      </c>
      <c r="AD490" s="33">
        <v>120</v>
      </c>
      <c r="AE490" s="5" t="s">
        <v>49</v>
      </c>
      <c r="AF490" s="5"/>
      <c r="AG490" s="5"/>
      <c r="AH490" s="5" t="s">
        <v>2051</v>
      </c>
    </row>
    <row r="491" spans="2:34" ht="21" customHeight="1" outlineLevel="4" x14ac:dyDescent="0.2">
      <c r="B491" s="4">
        <v>354</v>
      </c>
      <c r="C491" s="5" t="s">
        <v>2069</v>
      </c>
      <c r="D491" s="5" t="s">
        <v>2070</v>
      </c>
      <c r="E491" s="6" t="s">
        <v>2071</v>
      </c>
      <c r="F491" s="10"/>
      <c r="G491" s="11" t="s">
        <v>2061</v>
      </c>
      <c r="H491" s="12">
        <v>8</v>
      </c>
      <c r="I491" s="13" t="s">
        <v>41</v>
      </c>
      <c r="J491" s="13"/>
      <c r="K491" s="13"/>
      <c r="L491" s="4">
        <v>2</v>
      </c>
      <c r="M491" s="14">
        <f>399*(1-P3/100)</f>
        <v>399</v>
      </c>
      <c r="N491" s="15"/>
      <c r="O491" s="13">
        <f t="shared" si="12"/>
        <v>0</v>
      </c>
      <c r="P491" s="13">
        <v>0</v>
      </c>
      <c r="Q491" s="13">
        <v>0</v>
      </c>
      <c r="R491" s="24"/>
      <c r="S491" s="25" t="s">
        <v>2072</v>
      </c>
      <c r="T491" s="25" t="s">
        <v>94</v>
      </c>
      <c r="U491" s="5"/>
      <c r="V491" s="5" t="s">
        <v>2073</v>
      </c>
      <c r="W491" s="5" t="s">
        <v>46</v>
      </c>
      <c r="X491" s="5"/>
      <c r="Y491" s="5"/>
      <c r="Z491" s="5" t="str">
        <f>HYPERLINK("https://knigipp.ru/api/getInfo/image/3df1a1a6-081e-11ed-a215-ac1f6b442185")</f>
        <v>https://knigipp.ru/api/getInfo/image/3df1a1a6-081e-11ed-a215-ac1f6b442185</v>
      </c>
      <c r="AA491" s="33">
        <v>128</v>
      </c>
      <c r="AB491" s="5" t="s">
        <v>598</v>
      </c>
      <c r="AC491" s="5" t="s">
        <v>86</v>
      </c>
      <c r="AD491" s="33">
        <v>120</v>
      </c>
      <c r="AE491" s="5" t="s">
        <v>49</v>
      </c>
      <c r="AF491" s="5"/>
      <c r="AG491" s="5"/>
      <c r="AH491" s="5" t="s">
        <v>2051</v>
      </c>
    </row>
    <row r="492" spans="2:34" ht="21" customHeight="1" outlineLevel="4" x14ac:dyDescent="0.2">
      <c r="B492" s="4">
        <v>355</v>
      </c>
      <c r="C492" s="5" t="s">
        <v>2074</v>
      </c>
      <c r="D492" s="5" t="s">
        <v>2075</v>
      </c>
      <c r="E492" s="6" t="s">
        <v>2076</v>
      </c>
      <c r="F492" s="10"/>
      <c r="G492" s="11" t="s">
        <v>2061</v>
      </c>
      <c r="H492" s="12">
        <v>8</v>
      </c>
      <c r="I492" s="13" t="s">
        <v>41</v>
      </c>
      <c r="J492" s="13"/>
      <c r="K492" s="13"/>
      <c r="L492" s="4">
        <v>2</v>
      </c>
      <c r="M492" s="14">
        <f>399*(1-P3/100)</f>
        <v>399</v>
      </c>
      <c r="N492" s="15"/>
      <c r="O492" s="13">
        <f t="shared" si="12"/>
        <v>0</v>
      </c>
      <c r="P492" s="22">
        <f>0.087*N492</f>
        <v>0</v>
      </c>
      <c r="Q492" s="23">
        <f>0.00098*N492</f>
        <v>0</v>
      </c>
      <c r="R492" s="24"/>
      <c r="S492" s="25" t="s">
        <v>2077</v>
      </c>
      <c r="T492" s="25" t="s">
        <v>94</v>
      </c>
      <c r="U492" s="5"/>
      <c r="V492" s="5" t="s">
        <v>2078</v>
      </c>
      <c r="W492" s="5" t="s">
        <v>46</v>
      </c>
      <c r="X492" s="5"/>
      <c r="Y492" s="5"/>
      <c r="Z492" s="5" t="str">
        <f>HYPERLINK("https://knigipp.ru/api/getInfo/image/d902e292-3baf-11eb-a25e-ac1f6b442184")</f>
        <v>https://knigipp.ru/api/getInfo/image/d902e292-3baf-11eb-a25e-ac1f6b442184</v>
      </c>
      <c r="AA492" s="33">
        <v>128</v>
      </c>
      <c r="AB492" s="5"/>
      <c r="AC492" s="5" t="s">
        <v>86</v>
      </c>
      <c r="AD492" s="33">
        <v>120</v>
      </c>
      <c r="AE492" s="5" t="s">
        <v>49</v>
      </c>
      <c r="AF492" s="5"/>
      <c r="AG492" s="5"/>
      <c r="AH492" s="5" t="s">
        <v>2051</v>
      </c>
    </row>
    <row r="493" spans="2:34" ht="21" customHeight="1" outlineLevel="4" x14ac:dyDescent="0.2">
      <c r="B493" s="4">
        <v>356</v>
      </c>
      <c r="C493" s="5" t="s">
        <v>2079</v>
      </c>
      <c r="D493" s="5" t="s">
        <v>2080</v>
      </c>
      <c r="E493" s="6" t="s">
        <v>2081</v>
      </c>
      <c r="F493" s="10"/>
      <c r="G493" s="11" t="s">
        <v>2061</v>
      </c>
      <c r="H493" s="12">
        <v>8</v>
      </c>
      <c r="I493" s="13" t="s">
        <v>41</v>
      </c>
      <c r="J493" s="13"/>
      <c r="K493" s="13"/>
      <c r="L493" s="4">
        <v>2</v>
      </c>
      <c r="M493" s="14">
        <f>399*(1-P3/100)</f>
        <v>399</v>
      </c>
      <c r="N493" s="15"/>
      <c r="O493" s="13">
        <f t="shared" si="12"/>
        <v>0</v>
      </c>
      <c r="P493" s="13">
        <v>0</v>
      </c>
      <c r="Q493" s="13">
        <v>0</v>
      </c>
      <c r="R493" s="24"/>
      <c r="S493" s="25" t="s">
        <v>2082</v>
      </c>
      <c r="T493" s="25" t="s">
        <v>94</v>
      </c>
      <c r="U493" s="5"/>
      <c r="V493" s="5" t="s">
        <v>2083</v>
      </c>
      <c r="W493" s="5" t="s">
        <v>46</v>
      </c>
      <c r="X493" s="5" t="s">
        <v>2084</v>
      </c>
      <c r="Y493" s="5"/>
      <c r="Z493" s="5" t="str">
        <f>HYPERLINK("https://knigipp.ru/api/getInfo/image/b2beda60-3dbc-11ee-a241-00155d82e902")</f>
        <v>https://knigipp.ru/api/getInfo/image/b2beda60-3dbc-11ee-a241-00155d82e902</v>
      </c>
      <c r="AA493" s="33">
        <v>128</v>
      </c>
      <c r="AB493" s="5" t="s">
        <v>598</v>
      </c>
      <c r="AC493" s="5" t="s">
        <v>86</v>
      </c>
      <c r="AD493" s="33">
        <v>120</v>
      </c>
      <c r="AE493" s="5" t="s">
        <v>49</v>
      </c>
      <c r="AF493" s="5"/>
      <c r="AG493" s="5"/>
      <c r="AH493" s="5" t="s">
        <v>2057</v>
      </c>
    </row>
    <row r="494" spans="2:34" ht="21" customHeight="1" outlineLevel="4" x14ac:dyDescent="0.2">
      <c r="B494" s="4">
        <v>357</v>
      </c>
      <c r="C494" s="5" t="s">
        <v>2085</v>
      </c>
      <c r="D494" s="5" t="s">
        <v>2086</v>
      </c>
      <c r="E494" s="6" t="s">
        <v>2087</v>
      </c>
      <c r="F494" s="10"/>
      <c r="G494" s="11" t="s">
        <v>2061</v>
      </c>
      <c r="H494" s="12">
        <v>8</v>
      </c>
      <c r="I494" s="13" t="s">
        <v>41</v>
      </c>
      <c r="J494" s="13"/>
      <c r="K494" s="13"/>
      <c r="L494" s="4">
        <v>2</v>
      </c>
      <c r="M494" s="14">
        <f>399*(1-P3/100)</f>
        <v>399</v>
      </c>
      <c r="N494" s="15"/>
      <c r="O494" s="13">
        <f t="shared" si="12"/>
        <v>0</v>
      </c>
      <c r="P494" s="22">
        <f>0.651*N494</f>
        <v>0</v>
      </c>
      <c r="Q494" s="23">
        <f>0.00107*N494</f>
        <v>0</v>
      </c>
      <c r="R494" s="24"/>
      <c r="S494" s="25" t="s">
        <v>2088</v>
      </c>
      <c r="T494" s="25" t="s">
        <v>94</v>
      </c>
      <c r="U494" s="5"/>
      <c r="V494" s="5" t="s">
        <v>2089</v>
      </c>
      <c r="W494" s="5" t="s">
        <v>46</v>
      </c>
      <c r="X494" s="5" t="s">
        <v>2084</v>
      </c>
      <c r="Y494" s="5"/>
      <c r="Z494" s="5" t="str">
        <f>HYPERLINK("https://knigipp.ru/api/getInfo/image/ad1760fc-ffb7-11ed-a23a-00155d82e902")</f>
        <v>https://knigipp.ru/api/getInfo/image/ad1760fc-ffb7-11ed-a23a-00155d82e902</v>
      </c>
      <c r="AA494" s="33">
        <v>128</v>
      </c>
      <c r="AB494" s="5" t="s">
        <v>598</v>
      </c>
      <c r="AC494" s="5" t="s">
        <v>86</v>
      </c>
      <c r="AD494" s="33">
        <v>120</v>
      </c>
      <c r="AE494" s="5" t="s">
        <v>49</v>
      </c>
      <c r="AF494" s="5"/>
      <c r="AG494" s="5"/>
      <c r="AH494" s="5" t="s">
        <v>2057</v>
      </c>
    </row>
    <row r="495" spans="2:34" ht="21" customHeight="1" outlineLevel="4" x14ac:dyDescent="0.2">
      <c r="B495" s="4">
        <v>358</v>
      </c>
      <c r="C495" s="5" t="s">
        <v>2090</v>
      </c>
      <c r="D495" s="5" t="s">
        <v>2091</v>
      </c>
      <c r="E495" s="6" t="s">
        <v>2092</v>
      </c>
      <c r="F495" s="10"/>
      <c r="G495" s="11" t="s">
        <v>2061</v>
      </c>
      <c r="H495" s="12">
        <v>8</v>
      </c>
      <c r="I495" s="13" t="s">
        <v>41</v>
      </c>
      <c r="J495" s="13"/>
      <c r="K495" s="13"/>
      <c r="L495" s="4">
        <v>2</v>
      </c>
      <c r="M495" s="14">
        <f>399*(1-P3/100)</f>
        <v>399</v>
      </c>
      <c r="N495" s="15"/>
      <c r="O495" s="13">
        <f t="shared" si="12"/>
        <v>0</v>
      </c>
      <c r="P495" s="22">
        <f>0.631*N495</f>
        <v>0</v>
      </c>
      <c r="Q495" s="30">
        <f>0.0011*N495</f>
        <v>0</v>
      </c>
      <c r="R495" s="24"/>
      <c r="S495" s="25" t="s">
        <v>2093</v>
      </c>
      <c r="T495" s="25" t="s">
        <v>94</v>
      </c>
      <c r="U495" s="5"/>
      <c r="V495" s="5" t="s">
        <v>2094</v>
      </c>
      <c r="W495" s="5" t="s">
        <v>46</v>
      </c>
      <c r="X495" s="5"/>
      <c r="Y495" s="5"/>
      <c r="Z495" s="5" t="str">
        <f>HYPERLINK("https://knigipp.ru/api/getInfo/image/086da6fe-1558-11ec-a20f-ac1f6b442185")</f>
        <v>https://knigipp.ru/api/getInfo/image/086da6fe-1558-11ec-a20f-ac1f6b442185</v>
      </c>
      <c r="AA495" s="33">
        <v>128</v>
      </c>
      <c r="AB495" s="5"/>
      <c r="AC495" s="5" t="s">
        <v>86</v>
      </c>
      <c r="AD495" s="33">
        <v>120</v>
      </c>
      <c r="AE495" s="5" t="s">
        <v>49</v>
      </c>
      <c r="AF495" s="5"/>
      <c r="AG495" s="5"/>
      <c r="AH495" s="5" t="s">
        <v>2051</v>
      </c>
    </row>
    <row r="496" spans="2:34" ht="22.95" customHeight="1" outlineLevel="3" x14ac:dyDescent="0.2">
      <c r="B496" s="74" t="s">
        <v>2095</v>
      </c>
      <c r="C496" s="74"/>
      <c r="D496" s="74"/>
    </row>
    <row r="497" spans="2:34" ht="21" customHeight="1" outlineLevel="4" x14ac:dyDescent="0.2">
      <c r="B497" s="4">
        <v>359</v>
      </c>
      <c r="C497" s="5" t="s">
        <v>2096</v>
      </c>
      <c r="D497" s="5" t="s">
        <v>2097</v>
      </c>
      <c r="E497" s="6" t="s">
        <v>2098</v>
      </c>
      <c r="F497" s="10"/>
      <c r="G497" s="11"/>
      <c r="H497" s="12">
        <v>10</v>
      </c>
      <c r="I497" s="13" t="s">
        <v>41</v>
      </c>
      <c r="J497" s="13"/>
      <c r="K497" s="13"/>
      <c r="L497" s="4">
        <v>7</v>
      </c>
      <c r="M497" s="14">
        <f>89*(1-P3/100)</f>
        <v>89</v>
      </c>
      <c r="N497" s="15"/>
      <c r="O497" s="13">
        <f t="shared" ref="O497:O504" si="13">M497*N497</f>
        <v>0</v>
      </c>
      <c r="P497" s="13">
        <v>0</v>
      </c>
      <c r="Q497" s="13">
        <v>0</v>
      </c>
      <c r="R497" s="24"/>
      <c r="S497" s="25" t="s">
        <v>2099</v>
      </c>
      <c r="T497" s="25" t="s">
        <v>94</v>
      </c>
      <c r="U497" s="5"/>
      <c r="V497" s="5"/>
      <c r="W497" s="5" t="s">
        <v>46</v>
      </c>
      <c r="X497" s="5"/>
      <c r="Y497" s="5"/>
      <c r="Z497" s="5" t="str">
        <f>HYPERLINK("https://knigipp.ru/api/getInfo/image/3c54b67b-bf68-11ee-a25a-00155d82e908")</f>
        <v>https://knigipp.ru/api/getInfo/image/3c54b67b-bf68-11ee-a25a-00155d82e908</v>
      </c>
      <c r="AA497" s="33">
        <v>80</v>
      </c>
      <c r="AB497" s="5" t="s">
        <v>574</v>
      </c>
      <c r="AC497" s="5" t="s">
        <v>96</v>
      </c>
      <c r="AD497" s="5"/>
      <c r="AE497" s="5" t="s">
        <v>49</v>
      </c>
      <c r="AF497" s="5"/>
      <c r="AG497" s="5"/>
      <c r="AH497" s="5" t="s">
        <v>740</v>
      </c>
    </row>
    <row r="498" spans="2:34" ht="21" customHeight="1" outlineLevel="4" x14ac:dyDescent="0.2">
      <c r="B498" s="4">
        <v>360</v>
      </c>
      <c r="C498" s="5" t="s">
        <v>2100</v>
      </c>
      <c r="D498" s="5" t="s">
        <v>2101</v>
      </c>
      <c r="E498" s="6" t="s">
        <v>2102</v>
      </c>
      <c r="F498" s="10"/>
      <c r="G498" s="11"/>
      <c r="H498" s="12">
        <v>10</v>
      </c>
      <c r="I498" s="13" t="s">
        <v>41</v>
      </c>
      <c r="J498" s="13"/>
      <c r="K498" s="13"/>
      <c r="L498" s="4">
        <v>7</v>
      </c>
      <c r="M498" s="14">
        <f>89*(1-P3/100)</f>
        <v>89</v>
      </c>
      <c r="N498" s="15"/>
      <c r="O498" s="13">
        <f t="shared" si="13"/>
        <v>0</v>
      </c>
      <c r="P498" s="13">
        <v>0</v>
      </c>
      <c r="Q498" s="13">
        <v>0</v>
      </c>
      <c r="R498" s="24"/>
      <c r="S498" s="25" t="s">
        <v>2103</v>
      </c>
      <c r="T498" s="25" t="s">
        <v>94</v>
      </c>
      <c r="U498" s="5"/>
      <c r="V498" s="5"/>
      <c r="W498" s="5" t="s">
        <v>46</v>
      </c>
      <c r="X498" s="5"/>
      <c r="Y498" s="5"/>
      <c r="Z498" s="5" t="str">
        <f>HYPERLINK("https://knigipp.ru/api/getInfo/image/f192c0fd-bf67-11ee-a25a-00155d82e908")</f>
        <v>https://knigipp.ru/api/getInfo/image/f192c0fd-bf67-11ee-a25a-00155d82e908</v>
      </c>
      <c r="AA498" s="33">
        <v>80</v>
      </c>
      <c r="AB498" s="5" t="s">
        <v>574</v>
      </c>
      <c r="AC498" s="5" t="s">
        <v>96</v>
      </c>
      <c r="AD498" s="5"/>
      <c r="AE498" s="5" t="s">
        <v>49</v>
      </c>
      <c r="AF498" s="5"/>
      <c r="AG498" s="5"/>
      <c r="AH498" s="5" t="s">
        <v>740</v>
      </c>
    </row>
    <row r="499" spans="2:34" ht="21" customHeight="1" outlineLevel="4" x14ac:dyDescent="0.2">
      <c r="B499" s="4">
        <v>361</v>
      </c>
      <c r="C499" s="5" t="s">
        <v>2104</v>
      </c>
      <c r="D499" s="5" t="s">
        <v>2105</v>
      </c>
      <c r="E499" s="6" t="s">
        <v>2106</v>
      </c>
      <c r="F499" s="10"/>
      <c r="G499" s="11"/>
      <c r="H499" s="12">
        <v>10</v>
      </c>
      <c r="I499" s="13" t="s">
        <v>41</v>
      </c>
      <c r="J499" s="13"/>
      <c r="K499" s="13"/>
      <c r="L499" s="4">
        <v>7</v>
      </c>
      <c r="M499" s="14">
        <f>89*(1-P3/100)</f>
        <v>89</v>
      </c>
      <c r="N499" s="15"/>
      <c r="O499" s="13">
        <f t="shared" si="13"/>
        <v>0</v>
      </c>
      <c r="P499" s="13">
        <v>0</v>
      </c>
      <c r="Q499" s="13">
        <v>0</v>
      </c>
      <c r="R499" s="24"/>
      <c r="S499" s="25" t="s">
        <v>2107</v>
      </c>
      <c r="T499" s="25" t="s">
        <v>94</v>
      </c>
      <c r="U499" s="5"/>
      <c r="V499" s="5"/>
      <c r="W499" s="5" t="s">
        <v>46</v>
      </c>
      <c r="X499" s="5"/>
      <c r="Y499" s="5"/>
      <c r="Z499" s="5" t="str">
        <f>HYPERLINK("https://knigipp.ru/api/getInfo/image/bc69a585-bf67-11ee-a25a-00155d82e908")</f>
        <v>https://knigipp.ru/api/getInfo/image/bc69a585-bf67-11ee-a25a-00155d82e908</v>
      </c>
      <c r="AA499" s="33">
        <v>80</v>
      </c>
      <c r="AB499" s="5" t="s">
        <v>574</v>
      </c>
      <c r="AC499" s="5" t="s">
        <v>96</v>
      </c>
      <c r="AD499" s="5"/>
      <c r="AE499" s="5" t="s">
        <v>49</v>
      </c>
      <c r="AF499" s="5"/>
      <c r="AG499" s="5"/>
      <c r="AH499" s="5" t="s">
        <v>740</v>
      </c>
    </row>
    <row r="500" spans="2:34" ht="21" customHeight="1" outlineLevel="4" x14ac:dyDescent="0.2">
      <c r="B500" s="4">
        <v>362</v>
      </c>
      <c r="C500" s="5" t="s">
        <v>2108</v>
      </c>
      <c r="D500" s="5" t="s">
        <v>2109</v>
      </c>
      <c r="E500" s="6" t="s">
        <v>2110</v>
      </c>
      <c r="F500" s="10"/>
      <c r="G500" s="11"/>
      <c r="H500" s="12">
        <v>10</v>
      </c>
      <c r="I500" s="13" t="s">
        <v>41</v>
      </c>
      <c r="J500" s="13"/>
      <c r="K500" s="13"/>
      <c r="L500" s="4">
        <v>7</v>
      </c>
      <c r="M500" s="14">
        <f>89*(1-P3/100)</f>
        <v>89</v>
      </c>
      <c r="N500" s="15"/>
      <c r="O500" s="13">
        <f t="shared" si="13"/>
        <v>0</v>
      </c>
      <c r="P500" s="13">
        <v>0</v>
      </c>
      <c r="Q500" s="13">
        <v>0</v>
      </c>
      <c r="R500" s="24"/>
      <c r="S500" s="25" t="s">
        <v>2111</v>
      </c>
      <c r="T500" s="25" t="s">
        <v>94</v>
      </c>
      <c r="U500" s="5"/>
      <c r="V500" s="5"/>
      <c r="W500" s="5" t="s">
        <v>46</v>
      </c>
      <c r="X500" s="5"/>
      <c r="Y500" s="5"/>
      <c r="Z500" s="5" t="str">
        <f>HYPERLINK("https://knigipp.ru/api/getInfo/image/14cbcc5b-bf68-11ee-a25a-00155d82e908")</f>
        <v>https://knigipp.ru/api/getInfo/image/14cbcc5b-bf68-11ee-a25a-00155d82e908</v>
      </c>
      <c r="AA500" s="33">
        <v>80</v>
      </c>
      <c r="AB500" s="5" t="s">
        <v>574</v>
      </c>
      <c r="AC500" s="5" t="s">
        <v>96</v>
      </c>
      <c r="AD500" s="5"/>
      <c r="AE500" s="5" t="s">
        <v>49</v>
      </c>
      <c r="AF500" s="5"/>
      <c r="AG500" s="5"/>
      <c r="AH500" s="5" t="s">
        <v>740</v>
      </c>
    </row>
    <row r="501" spans="2:34" ht="21" customHeight="1" outlineLevel="4" x14ac:dyDescent="0.2">
      <c r="B501" s="4">
        <v>363</v>
      </c>
      <c r="C501" s="5" t="s">
        <v>2112</v>
      </c>
      <c r="D501" s="5" t="s">
        <v>2113</v>
      </c>
      <c r="E501" s="6" t="s">
        <v>2114</v>
      </c>
      <c r="F501" s="10"/>
      <c r="G501" s="11"/>
      <c r="H501" s="12">
        <v>10</v>
      </c>
      <c r="I501" s="13" t="s">
        <v>41</v>
      </c>
      <c r="J501" s="13"/>
      <c r="K501" s="13"/>
      <c r="L501" s="4">
        <v>7</v>
      </c>
      <c r="M501" s="14">
        <f>89*(1-P3/100)</f>
        <v>89</v>
      </c>
      <c r="N501" s="15"/>
      <c r="O501" s="13">
        <f t="shared" si="13"/>
        <v>0</v>
      </c>
      <c r="P501" s="13">
        <v>0</v>
      </c>
      <c r="Q501" s="13">
        <v>0</v>
      </c>
      <c r="R501" s="24"/>
      <c r="S501" s="25" t="s">
        <v>2115</v>
      </c>
      <c r="T501" s="25" t="s">
        <v>94</v>
      </c>
      <c r="U501" s="5"/>
      <c r="V501" s="5"/>
      <c r="W501" s="5" t="s">
        <v>46</v>
      </c>
      <c r="X501" s="5"/>
      <c r="Y501" s="5"/>
      <c r="Z501" s="5" t="str">
        <f>HYPERLINK("https://knigipp.ru/api/getInfo/image/b83033e2-bf68-11ee-a25a-00155d82e908")</f>
        <v>https://knigipp.ru/api/getInfo/image/b83033e2-bf68-11ee-a25a-00155d82e908</v>
      </c>
      <c r="AA501" s="33">
        <v>80</v>
      </c>
      <c r="AB501" s="5" t="s">
        <v>574</v>
      </c>
      <c r="AC501" s="5" t="s">
        <v>96</v>
      </c>
      <c r="AD501" s="5"/>
      <c r="AE501" s="5" t="s">
        <v>49</v>
      </c>
      <c r="AF501" s="5"/>
      <c r="AG501" s="5"/>
      <c r="AH501" s="5" t="s">
        <v>740</v>
      </c>
    </row>
    <row r="502" spans="2:34" ht="21" customHeight="1" outlineLevel="4" x14ac:dyDescent="0.2">
      <c r="B502" s="4">
        <v>364</v>
      </c>
      <c r="C502" s="5" t="s">
        <v>2116</v>
      </c>
      <c r="D502" s="5" t="s">
        <v>2117</v>
      </c>
      <c r="E502" s="6" t="s">
        <v>2118</v>
      </c>
      <c r="F502" s="10"/>
      <c r="G502" s="11"/>
      <c r="H502" s="12">
        <v>10</v>
      </c>
      <c r="I502" s="13" t="s">
        <v>41</v>
      </c>
      <c r="J502" s="13"/>
      <c r="K502" s="13"/>
      <c r="L502" s="4">
        <v>7</v>
      </c>
      <c r="M502" s="14">
        <f>89*(1-P3/100)</f>
        <v>89</v>
      </c>
      <c r="N502" s="15"/>
      <c r="O502" s="13">
        <f t="shared" si="13"/>
        <v>0</v>
      </c>
      <c r="P502" s="13">
        <v>0</v>
      </c>
      <c r="Q502" s="13">
        <v>0</v>
      </c>
      <c r="R502" s="24"/>
      <c r="S502" s="25" t="s">
        <v>2119</v>
      </c>
      <c r="T502" s="25" t="s">
        <v>94</v>
      </c>
      <c r="U502" s="5"/>
      <c r="V502" s="5"/>
      <c r="W502" s="5" t="s">
        <v>46</v>
      </c>
      <c r="X502" s="5"/>
      <c r="Y502" s="5"/>
      <c r="Z502" s="5" t="str">
        <f>HYPERLINK("https://knigipp.ru/api/getInfo/image/4e9233bb-bf67-11ee-a25a-00155d82e908")</f>
        <v>https://knigipp.ru/api/getInfo/image/4e9233bb-bf67-11ee-a25a-00155d82e908</v>
      </c>
      <c r="AA502" s="33">
        <v>80</v>
      </c>
      <c r="AB502" s="5" t="s">
        <v>574</v>
      </c>
      <c r="AC502" s="5" t="s">
        <v>96</v>
      </c>
      <c r="AD502" s="5"/>
      <c r="AE502" s="5" t="s">
        <v>49</v>
      </c>
      <c r="AF502" s="5"/>
      <c r="AG502" s="5"/>
      <c r="AH502" s="5" t="s">
        <v>740</v>
      </c>
    </row>
    <row r="503" spans="2:34" ht="21" customHeight="1" outlineLevel="4" x14ac:dyDescent="0.2">
      <c r="B503" s="4">
        <v>365</v>
      </c>
      <c r="C503" s="5" t="s">
        <v>2120</v>
      </c>
      <c r="D503" s="5" t="s">
        <v>2121</v>
      </c>
      <c r="E503" s="6" t="s">
        <v>2122</v>
      </c>
      <c r="F503" s="10"/>
      <c r="G503" s="11"/>
      <c r="H503" s="12">
        <v>10</v>
      </c>
      <c r="I503" s="13" t="s">
        <v>41</v>
      </c>
      <c r="J503" s="13"/>
      <c r="K503" s="13"/>
      <c r="L503" s="4">
        <v>7</v>
      </c>
      <c r="M503" s="14">
        <f>89*(1-P3/100)</f>
        <v>89</v>
      </c>
      <c r="N503" s="15"/>
      <c r="O503" s="13">
        <f t="shared" si="13"/>
        <v>0</v>
      </c>
      <c r="P503" s="13">
        <v>0</v>
      </c>
      <c r="Q503" s="13">
        <v>0</v>
      </c>
      <c r="R503" s="24"/>
      <c r="S503" s="25" t="s">
        <v>2123</v>
      </c>
      <c r="T503" s="25" t="s">
        <v>94</v>
      </c>
      <c r="U503" s="5"/>
      <c r="V503" s="5"/>
      <c r="W503" s="5" t="s">
        <v>46</v>
      </c>
      <c r="X503" s="5"/>
      <c r="Y503" s="5"/>
      <c r="Z503" s="5" t="str">
        <f>HYPERLINK("https://knigipp.ru/api/getInfo/image/8ec346e0-bf68-11ee-a25a-00155d82e908")</f>
        <v>https://knigipp.ru/api/getInfo/image/8ec346e0-bf68-11ee-a25a-00155d82e908</v>
      </c>
      <c r="AA503" s="33">
        <v>80</v>
      </c>
      <c r="AB503" s="5" t="s">
        <v>574</v>
      </c>
      <c r="AC503" s="5" t="s">
        <v>96</v>
      </c>
      <c r="AD503" s="5"/>
      <c r="AE503" s="5" t="s">
        <v>49</v>
      </c>
      <c r="AF503" s="5"/>
      <c r="AG503" s="5"/>
      <c r="AH503" s="5" t="s">
        <v>740</v>
      </c>
    </row>
    <row r="504" spans="2:34" ht="21" customHeight="1" outlineLevel="4" x14ac:dyDescent="0.2">
      <c r="B504" s="4">
        <v>366</v>
      </c>
      <c r="C504" s="5" t="s">
        <v>2124</v>
      </c>
      <c r="D504" s="5" t="s">
        <v>2125</v>
      </c>
      <c r="E504" s="6" t="s">
        <v>2126</v>
      </c>
      <c r="F504" s="10"/>
      <c r="G504" s="11"/>
      <c r="H504" s="12">
        <v>10</v>
      </c>
      <c r="I504" s="13" t="s">
        <v>41</v>
      </c>
      <c r="J504" s="13"/>
      <c r="K504" s="13"/>
      <c r="L504" s="4">
        <v>7</v>
      </c>
      <c r="M504" s="14">
        <f>89*(1-P3/100)</f>
        <v>89</v>
      </c>
      <c r="N504" s="15"/>
      <c r="O504" s="13">
        <f t="shared" si="13"/>
        <v>0</v>
      </c>
      <c r="P504" s="13">
        <v>0</v>
      </c>
      <c r="Q504" s="13">
        <v>0</v>
      </c>
      <c r="R504" s="24"/>
      <c r="S504" s="25" t="s">
        <v>2127</v>
      </c>
      <c r="T504" s="25" t="s">
        <v>94</v>
      </c>
      <c r="U504" s="5"/>
      <c r="V504" s="5"/>
      <c r="W504" s="5" t="s">
        <v>46</v>
      </c>
      <c r="X504" s="5"/>
      <c r="Y504" s="5"/>
      <c r="Z504" s="5" t="str">
        <f>HYPERLINK("https://knigipp.ru/api/getInfo/image/63ebf3d4-bf68-11ee-a25a-00155d82e908")</f>
        <v>https://knigipp.ru/api/getInfo/image/63ebf3d4-bf68-11ee-a25a-00155d82e908</v>
      </c>
      <c r="AA504" s="33">
        <v>80</v>
      </c>
      <c r="AB504" s="5" t="s">
        <v>574</v>
      </c>
      <c r="AC504" s="5" t="s">
        <v>96</v>
      </c>
      <c r="AD504" s="5"/>
      <c r="AE504" s="5" t="s">
        <v>49</v>
      </c>
      <c r="AF504" s="5"/>
      <c r="AG504" s="5"/>
      <c r="AH504" s="5" t="s">
        <v>740</v>
      </c>
    </row>
    <row r="505" spans="2:34" ht="22.95" customHeight="1" outlineLevel="3" x14ac:dyDescent="0.2">
      <c r="B505" s="74" t="s">
        <v>2128</v>
      </c>
      <c r="C505" s="74"/>
      <c r="D505" s="74"/>
    </row>
    <row r="506" spans="2:34" ht="21" customHeight="1" outlineLevel="4" x14ac:dyDescent="0.2">
      <c r="B506" s="4">
        <v>367</v>
      </c>
      <c r="C506" s="5" t="s">
        <v>2129</v>
      </c>
      <c r="D506" s="5" t="s">
        <v>2130</v>
      </c>
      <c r="E506" s="6" t="s">
        <v>2131</v>
      </c>
      <c r="F506" s="10"/>
      <c r="G506" s="11" t="s">
        <v>2132</v>
      </c>
      <c r="H506" s="12">
        <v>25</v>
      </c>
      <c r="I506" s="13" t="s">
        <v>371</v>
      </c>
      <c r="J506" s="13"/>
      <c r="K506" s="13"/>
      <c r="L506" s="4">
        <v>5</v>
      </c>
      <c r="M506" s="14">
        <f>119*(1-P3/100)</f>
        <v>119</v>
      </c>
      <c r="N506" s="15"/>
      <c r="O506" s="13">
        <f>M506*N506</f>
        <v>0</v>
      </c>
      <c r="P506" s="13">
        <v>0</v>
      </c>
      <c r="Q506" s="13">
        <v>0</v>
      </c>
      <c r="R506" s="24"/>
      <c r="S506" s="25" t="s">
        <v>2133</v>
      </c>
      <c r="T506" s="25" t="s">
        <v>43</v>
      </c>
      <c r="U506" s="5"/>
      <c r="V506" s="5" t="s">
        <v>2134</v>
      </c>
      <c r="W506" s="5" t="s">
        <v>46</v>
      </c>
      <c r="X506" s="5"/>
      <c r="Y506" s="5"/>
      <c r="Z506" s="5" t="str">
        <f>HYPERLINK("https://knigipp.ru/api/getInfo/image/0fb9ed01-5281-11ec-a20f-ac1f6b442185")</f>
        <v>https://knigipp.ru/api/getInfo/image/0fb9ed01-5281-11ec-a20f-ac1f6b442185</v>
      </c>
      <c r="AA506" s="33">
        <v>48</v>
      </c>
      <c r="AB506" s="5"/>
      <c r="AC506" s="5" t="s">
        <v>48</v>
      </c>
      <c r="AD506" s="5"/>
      <c r="AE506" s="5" t="s">
        <v>49</v>
      </c>
      <c r="AF506" s="5"/>
      <c r="AG506" s="5"/>
      <c r="AH506" s="5" t="s">
        <v>2135</v>
      </c>
    </row>
    <row r="507" spans="2:34" ht="22.95" customHeight="1" outlineLevel="2" x14ac:dyDescent="0.2">
      <c r="B507" s="73" t="s">
        <v>2136</v>
      </c>
      <c r="C507" s="73"/>
      <c r="D507" s="73"/>
    </row>
    <row r="508" spans="2:34" ht="22.95" customHeight="1" outlineLevel="3" x14ac:dyDescent="0.2">
      <c r="B508" s="74" t="s">
        <v>2137</v>
      </c>
      <c r="C508" s="74"/>
      <c r="D508" s="74"/>
    </row>
    <row r="509" spans="2:34" ht="21" customHeight="1" outlineLevel="4" x14ac:dyDescent="0.2">
      <c r="B509" s="4">
        <v>368</v>
      </c>
      <c r="C509" s="5" t="s">
        <v>2138</v>
      </c>
      <c r="D509" s="5" t="s">
        <v>2139</v>
      </c>
      <c r="E509" s="6" t="s">
        <v>2140</v>
      </c>
      <c r="F509" s="10"/>
      <c r="G509" s="11" t="s">
        <v>2141</v>
      </c>
      <c r="H509" s="12">
        <v>50</v>
      </c>
      <c r="I509" s="13" t="s">
        <v>41</v>
      </c>
      <c r="J509" s="13"/>
      <c r="K509" s="13"/>
      <c r="L509" s="4">
        <v>7</v>
      </c>
      <c r="M509" s="14">
        <f>97*(1-P3/100)</f>
        <v>97</v>
      </c>
      <c r="N509" s="15"/>
      <c r="O509" s="13">
        <f t="shared" ref="O509:O514" si="14">M509*N509</f>
        <v>0</v>
      </c>
      <c r="P509" s="22">
        <f>0.071*N509</f>
        <v>0</v>
      </c>
      <c r="Q509" s="23">
        <f>0.00025*N509</f>
        <v>0</v>
      </c>
      <c r="R509" s="24"/>
      <c r="S509" s="25" t="s">
        <v>2142</v>
      </c>
      <c r="T509" s="25" t="s">
        <v>94</v>
      </c>
      <c r="U509" s="5"/>
      <c r="V509" s="5" t="s">
        <v>2143</v>
      </c>
      <c r="W509" s="5" t="s">
        <v>46</v>
      </c>
      <c r="X509" s="5"/>
      <c r="Y509" s="5"/>
      <c r="Z509" s="5" t="str">
        <f>HYPERLINK("https://knigipp.ru/api/getInfo/image/bca7a7b7-e4f0-11ed-a233-00155d82e902")</f>
        <v>https://knigipp.ru/api/getInfo/image/bca7a7b7-e4f0-11ed-a233-00155d82e902</v>
      </c>
      <c r="AA509" s="33">
        <v>32</v>
      </c>
      <c r="AB509" s="5" t="s">
        <v>47</v>
      </c>
      <c r="AC509" s="5" t="s">
        <v>96</v>
      </c>
      <c r="AD509" s="5"/>
      <c r="AE509" s="5" t="s">
        <v>49</v>
      </c>
      <c r="AF509" s="5"/>
      <c r="AG509" s="5"/>
      <c r="AH509" s="5" t="s">
        <v>2144</v>
      </c>
    </row>
    <row r="510" spans="2:34" ht="21" customHeight="1" outlineLevel="4" x14ac:dyDescent="0.2">
      <c r="B510" s="4">
        <v>369</v>
      </c>
      <c r="C510" s="5" t="s">
        <v>2145</v>
      </c>
      <c r="D510" s="5" t="s">
        <v>2146</v>
      </c>
      <c r="E510" s="6" t="s">
        <v>2147</v>
      </c>
      <c r="F510" s="10"/>
      <c r="G510" s="11" t="s">
        <v>2141</v>
      </c>
      <c r="H510" s="12">
        <v>50</v>
      </c>
      <c r="I510" s="13" t="s">
        <v>41</v>
      </c>
      <c r="J510" s="13"/>
      <c r="K510" s="13"/>
      <c r="L510" s="4">
        <v>7</v>
      </c>
      <c r="M510" s="14">
        <f>97*(1-P3/100)</f>
        <v>97</v>
      </c>
      <c r="N510" s="15"/>
      <c r="O510" s="13">
        <f t="shared" si="14"/>
        <v>0</v>
      </c>
      <c r="P510" s="22">
        <f>0.065*N510</f>
        <v>0</v>
      </c>
      <c r="Q510" s="23">
        <f>0.00025*N510</f>
        <v>0</v>
      </c>
      <c r="R510" s="24"/>
      <c r="S510" s="25" t="s">
        <v>2148</v>
      </c>
      <c r="T510" s="25" t="s">
        <v>94</v>
      </c>
      <c r="U510" s="5"/>
      <c r="V510" s="5" t="s">
        <v>2149</v>
      </c>
      <c r="W510" s="5"/>
      <c r="X510" s="5"/>
      <c r="Y510" s="5"/>
      <c r="Z510" s="5" t="str">
        <f>HYPERLINK("https://knigipp.ru/api/getInfo/image/e927d022-1f4d-11ef-a25f-00155d82e908")</f>
        <v>https://knigipp.ru/api/getInfo/image/e927d022-1f4d-11ef-a25f-00155d82e908</v>
      </c>
      <c r="AA510" s="33">
        <v>32</v>
      </c>
      <c r="AB510" s="5" t="s">
        <v>47</v>
      </c>
      <c r="AC510" s="5" t="s">
        <v>96</v>
      </c>
      <c r="AD510" s="5"/>
      <c r="AE510" s="5" t="s">
        <v>49</v>
      </c>
      <c r="AF510" s="5"/>
      <c r="AG510" s="5"/>
      <c r="AH510" s="5" t="s">
        <v>2144</v>
      </c>
    </row>
    <row r="511" spans="2:34" ht="21" customHeight="1" outlineLevel="4" x14ac:dyDescent="0.2">
      <c r="B511" s="4">
        <v>370</v>
      </c>
      <c r="C511" s="5" t="s">
        <v>2150</v>
      </c>
      <c r="D511" s="5" t="s">
        <v>2151</v>
      </c>
      <c r="E511" s="6" t="s">
        <v>2152</v>
      </c>
      <c r="F511" s="10"/>
      <c r="G511" s="11" t="s">
        <v>2141</v>
      </c>
      <c r="H511" s="12">
        <v>50</v>
      </c>
      <c r="I511" s="13" t="s">
        <v>371</v>
      </c>
      <c r="J511" s="13"/>
      <c r="K511" s="13"/>
      <c r="L511" s="4">
        <v>7</v>
      </c>
      <c r="M511" s="14">
        <f>97*(1-P3/100)</f>
        <v>97</v>
      </c>
      <c r="N511" s="15"/>
      <c r="O511" s="13">
        <f t="shared" si="14"/>
        <v>0</v>
      </c>
      <c r="P511" s="22">
        <f>0.068*N511</f>
        <v>0</v>
      </c>
      <c r="Q511" s="30">
        <f>0.0002*N511</f>
        <v>0</v>
      </c>
      <c r="R511" s="24"/>
      <c r="S511" s="25" t="s">
        <v>2153</v>
      </c>
      <c r="T511" s="25" t="s">
        <v>94</v>
      </c>
      <c r="U511" s="5"/>
      <c r="V511" s="5" t="s">
        <v>2154</v>
      </c>
      <c r="W511" s="5"/>
      <c r="X511" s="5"/>
      <c r="Y511" s="5"/>
      <c r="Z511" s="5" t="str">
        <f>HYPERLINK("https://knigipp.ru/api/getInfo/image/88abc800-648a-11eb-a26d-ac1f6b442184")</f>
        <v>https://knigipp.ru/api/getInfo/image/88abc800-648a-11eb-a26d-ac1f6b442184</v>
      </c>
      <c r="AA511" s="33">
        <v>32</v>
      </c>
      <c r="AB511" s="5"/>
      <c r="AC511" s="5" t="s">
        <v>96</v>
      </c>
      <c r="AD511" s="5"/>
      <c r="AE511" s="5" t="s">
        <v>49</v>
      </c>
      <c r="AF511" s="5"/>
      <c r="AG511" s="5"/>
      <c r="AH511" s="5" t="s">
        <v>2144</v>
      </c>
    </row>
    <row r="512" spans="2:34" ht="21" customHeight="1" outlineLevel="4" x14ac:dyDescent="0.2">
      <c r="B512" s="4">
        <v>371</v>
      </c>
      <c r="C512" s="5" t="s">
        <v>2155</v>
      </c>
      <c r="D512" s="5" t="s">
        <v>2156</v>
      </c>
      <c r="E512" s="6" t="s">
        <v>2157</v>
      </c>
      <c r="F512" s="10"/>
      <c r="G512" s="11" t="s">
        <v>2141</v>
      </c>
      <c r="H512" s="12">
        <v>50</v>
      </c>
      <c r="I512" s="13" t="s">
        <v>41</v>
      </c>
      <c r="J512" s="13"/>
      <c r="K512" s="13"/>
      <c r="L512" s="4">
        <v>7</v>
      </c>
      <c r="M512" s="14">
        <f>97*(1-P3/100)</f>
        <v>97</v>
      </c>
      <c r="N512" s="15"/>
      <c r="O512" s="13">
        <f t="shared" si="14"/>
        <v>0</v>
      </c>
      <c r="P512" s="22">
        <f>0.065*N512</f>
        <v>0</v>
      </c>
      <c r="Q512" s="23">
        <f>0.00021*N512</f>
        <v>0</v>
      </c>
      <c r="R512" s="24"/>
      <c r="S512" s="25" t="s">
        <v>2158</v>
      </c>
      <c r="T512" s="25" t="s">
        <v>94</v>
      </c>
      <c r="U512" s="5"/>
      <c r="V512" s="5" t="s">
        <v>2159</v>
      </c>
      <c r="W512" s="5"/>
      <c r="X512" s="5" t="s">
        <v>2160</v>
      </c>
      <c r="Y512" s="5"/>
      <c r="Z512" s="5" t="str">
        <f>HYPERLINK("https://knigipp.ru/api/getInfo/image/bd2db2df-9b41-11ee-a256-00155d82e908")</f>
        <v>https://knigipp.ru/api/getInfo/image/bd2db2df-9b41-11ee-a256-00155d82e908</v>
      </c>
      <c r="AA512" s="33">
        <v>32</v>
      </c>
      <c r="AB512" s="5"/>
      <c r="AC512" s="5" t="s">
        <v>96</v>
      </c>
      <c r="AD512" s="5"/>
      <c r="AE512" s="5" t="s">
        <v>49</v>
      </c>
      <c r="AF512" s="5"/>
      <c r="AG512" s="5"/>
      <c r="AH512" s="5" t="s">
        <v>2144</v>
      </c>
    </row>
    <row r="513" spans="2:34" ht="21" customHeight="1" outlineLevel="4" x14ac:dyDescent="0.2">
      <c r="B513" s="4">
        <v>372</v>
      </c>
      <c r="C513" s="5" t="s">
        <v>2161</v>
      </c>
      <c r="D513" s="5" t="s">
        <v>2162</v>
      </c>
      <c r="E513" s="6" t="s">
        <v>2163</v>
      </c>
      <c r="F513" s="10"/>
      <c r="G513" s="11" t="s">
        <v>2141</v>
      </c>
      <c r="H513" s="12">
        <v>50</v>
      </c>
      <c r="I513" s="13" t="s">
        <v>41</v>
      </c>
      <c r="J513" s="13"/>
      <c r="K513" s="13"/>
      <c r="L513" s="4">
        <v>7</v>
      </c>
      <c r="M513" s="14">
        <f>97*(1-P3/100)</f>
        <v>97</v>
      </c>
      <c r="N513" s="15"/>
      <c r="O513" s="13">
        <f t="shared" si="14"/>
        <v>0</v>
      </c>
      <c r="P513" s="22">
        <f>0.067*N513</f>
        <v>0</v>
      </c>
      <c r="Q513" s="23">
        <f>0.00018*N513</f>
        <v>0</v>
      </c>
      <c r="R513" s="24"/>
      <c r="S513" s="25" t="s">
        <v>2164</v>
      </c>
      <c r="T513" s="25" t="s">
        <v>94</v>
      </c>
      <c r="U513" s="5"/>
      <c r="V513" s="5" t="s">
        <v>2165</v>
      </c>
      <c r="W513" s="5" t="s">
        <v>46</v>
      </c>
      <c r="X513" s="5"/>
      <c r="Y513" s="5"/>
      <c r="Z513" s="5" t="str">
        <f>HYPERLINK("https://knigipp.ru/api/getInfo/image/d44a9f99-648a-11eb-a26d-ac1f6b442184")</f>
        <v>https://knigipp.ru/api/getInfo/image/d44a9f99-648a-11eb-a26d-ac1f6b442184</v>
      </c>
      <c r="AA513" s="33">
        <v>32</v>
      </c>
      <c r="AB513" s="5"/>
      <c r="AC513" s="5" t="s">
        <v>96</v>
      </c>
      <c r="AD513" s="5"/>
      <c r="AE513" s="5" t="s">
        <v>49</v>
      </c>
      <c r="AF513" s="5"/>
      <c r="AG513" s="5"/>
      <c r="AH513" s="5" t="s">
        <v>2144</v>
      </c>
    </row>
    <row r="514" spans="2:34" ht="21" customHeight="1" outlineLevel="4" x14ac:dyDescent="0.2">
      <c r="B514" s="4">
        <v>373</v>
      </c>
      <c r="C514" s="5" t="s">
        <v>2166</v>
      </c>
      <c r="D514" s="5" t="s">
        <v>2167</v>
      </c>
      <c r="E514" s="6" t="s">
        <v>2168</v>
      </c>
      <c r="F514" s="10"/>
      <c r="G514" s="11" t="s">
        <v>2141</v>
      </c>
      <c r="H514" s="12">
        <v>50</v>
      </c>
      <c r="I514" s="13" t="s">
        <v>41</v>
      </c>
      <c r="J514" s="13"/>
      <c r="K514" s="13"/>
      <c r="L514" s="4">
        <v>7</v>
      </c>
      <c r="M514" s="14">
        <f>97*(1-P3/100)</f>
        <v>97</v>
      </c>
      <c r="N514" s="15"/>
      <c r="O514" s="13">
        <f t="shared" si="14"/>
        <v>0</v>
      </c>
      <c r="P514" s="22">
        <f>0.068*N514</f>
        <v>0</v>
      </c>
      <c r="Q514" s="23">
        <f>0.00019*N514</f>
        <v>0</v>
      </c>
      <c r="R514" s="24"/>
      <c r="S514" s="25" t="s">
        <v>2169</v>
      </c>
      <c r="T514" s="25" t="s">
        <v>94</v>
      </c>
      <c r="U514" s="5"/>
      <c r="V514" s="5" t="s">
        <v>2170</v>
      </c>
      <c r="W514" s="5" t="s">
        <v>46</v>
      </c>
      <c r="X514" s="5"/>
      <c r="Y514" s="5"/>
      <c r="Z514" s="5" t="str">
        <f>HYPERLINK("https://knigipp.ru/api/getInfo/image/497f9706-648c-11eb-a26d-ac1f6b442184")</f>
        <v>https://knigipp.ru/api/getInfo/image/497f9706-648c-11eb-a26d-ac1f6b442184</v>
      </c>
      <c r="AA514" s="33">
        <v>32</v>
      </c>
      <c r="AB514" s="5"/>
      <c r="AC514" s="5" t="s">
        <v>96</v>
      </c>
      <c r="AD514" s="5"/>
      <c r="AE514" s="5" t="s">
        <v>49</v>
      </c>
      <c r="AF514" s="5"/>
      <c r="AG514" s="5"/>
      <c r="AH514" s="5" t="s">
        <v>2144</v>
      </c>
    </row>
    <row r="515" spans="2:34" ht="22.95" customHeight="1" outlineLevel="3" x14ac:dyDescent="0.2">
      <c r="B515" s="74" t="s">
        <v>2171</v>
      </c>
      <c r="C515" s="74"/>
      <c r="D515" s="74"/>
    </row>
    <row r="516" spans="2:34" ht="21" customHeight="1" outlineLevel="4" x14ac:dyDescent="0.2">
      <c r="B516" s="4">
        <v>374</v>
      </c>
      <c r="C516" s="5" t="s">
        <v>2172</v>
      </c>
      <c r="D516" s="5" t="s">
        <v>2173</v>
      </c>
      <c r="E516" s="6" t="s">
        <v>2174</v>
      </c>
      <c r="F516" s="10"/>
      <c r="G516" s="11" t="s">
        <v>2175</v>
      </c>
      <c r="H516" s="12">
        <v>50</v>
      </c>
      <c r="I516" s="13" t="s">
        <v>371</v>
      </c>
      <c r="J516" s="13"/>
      <c r="K516" s="13"/>
      <c r="L516" s="4">
        <v>5</v>
      </c>
      <c r="M516" s="14">
        <f>137*(1-P3/100)</f>
        <v>137</v>
      </c>
      <c r="N516" s="15"/>
      <c r="O516" s="13">
        <f>M516*N516</f>
        <v>0</v>
      </c>
      <c r="P516" s="22">
        <f>0.073*N516</f>
        <v>0</v>
      </c>
      <c r="Q516" s="23">
        <f>0.00019*N516</f>
        <v>0</v>
      </c>
      <c r="R516" s="24"/>
      <c r="S516" s="25" t="s">
        <v>2176</v>
      </c>
      <c r="T516" s="25" t="s">
        <v>94</v>
      </c>
      <c r="U516" s="5"/>
      <c r="V516" s="5"/>
      <c r="W516" s="5" t="s">
        <v>46</v>
      </c>
      <c r="X516" s="5"/>
      <c r="Y516" s="5"/>
      <c r="Z516" s="5" t="str">
        <f>HYPERLINK("https://knigipp.ru/api/getInfo/image/39ea2842-853a-11ee-a248-00155d82e902")</f>
        <v>https://knigipp.ru/api/getInfo/image/39ea2842-853a-11ee-a248-00155d82e902</v>
      </c>
      <c r="AA516" s="33">
        <v>32</v>
      </c>
      <c r="AB516" s="5"/>
      <c r="AC516" s="5" t="s">
        <v>96</v>
      </c>
      <c r="AD516" s="5"/>
      <c r="AE516" s="5" t="s">
        <v>49</v>
      </c>
      <c r="AF516" s="5"/>
      <c r="AG516" s="5"/>
      <c r="AH516" s="5" t="s">
        <v>2177</v>
      </c>
    </row>
    <row r="517" spans="2:34" ht="21" customHeight="1" outlineLevel="4" x14ac:dyDescent="0.2">
      <c r="B517" s="4">
        <v>375</v>
      </c>
      <c r="C517" s="5" t="s">
        <v>2178</v>
      </c>
      <c r="D517" s="5" t="s">
        <v>2179</v>
      </c>
      <c r="E517" s="6" t="s">
        <v>2180</v>
      </c>
      <c r="F517" s="10"/>
      <c r="G517" s="11" t="s">
        <v>2175</v>
      </c>
      <c r="H517" s="12">
        <v>50</v>
      </c>
      <c r="I517" s="13" t="s">
        <v>371</v>
      </c>
      <c r="J517" s="13"/>
      <c r="K517" s="13"/>
      <c r="L517" s="4">
        <v>5</v>
      </c>
      <c r="M517" s="14">
        <f>137*(1-P3/100)</f>
        <v>137</v>
      </c>
      <c r="N517" s="15"/>
      <c r="O517" s="13">
        <f>M517*N517</f>
        <v>0</v>
      </c>
      <c r="P517" s="22">
        <f>0.071*N517</f>
        <v>0</v>
      </c>
      <c r="Q517" s="23">
        <f>0.00016*N517</f>
        <v>0</v>
      </c>
      <c r="R517" s="24"/>
      <c r="S517" s="25" t="s">
        <v>2181</v>
      </c>
      <c r="T517" s="25" t="s">
        <v>94</v>
      </c>
      <c r="U517" s="5"/>
      <c r="V517" s="5"/>
      <c r="W517" s="5" t="s">
        <v>46</v>
      </c>
      <c r="X517" s="5"/>
      <c r="Y517" s="5"/>
      <c r="Z517" s="5" t="str">
        <f>HYPERLINK("https://knigipp.ru/api/getInfo/image/308a4299-02ae-11ed-a213-ac1f6b442185")</f>
        <v>https://knigipp.ru/api/getInfo/image/308a4299-02ae-11ed-a213-ac1f6b442185</v>
      </c>
      <c r="AA517" s="33">
        <v>32</v>
      </c>
      <c r="AB517" s="5"/>
      <c r="AC517" s="5" t="s">
        <v>96</v>
      </c>
      <c r="AD517" s="5"/>
      <c r="AE517" s="5" t="s">
        <v>49</v>
      </c>
      <c r="AF517" s="5"/>
      <c r="AG517" s="5"/>
      <c r="AH517" s="5" t="s">
        <v>2177</v>
      </c>
    </row>
    <row r="518" spans="2:34" ht="21" customHeight="1" outlineLevel="4" x14ac:dyDescent="0.2">
      <c r="B518" s="4">
        <v>376</v>
      </c>
      <c r="C518" s="5" t="s">
        <v>2182</v>
      </c>
      <c r="D518" s="5" t="s">
        <v>2183</v>
      </c>
      <c r="E518" s="6" t="s">
        <v>2184</v>
      </c>
      <c r="F518" s="10"/>
      <c r="G518" s="11" t="s">
        <v>2175</v>
      </c>
      <c r="H518" s="12">
        <v>50</v>
      </c>
      <c r="I518" s="13" t="s">
        <v>41</v>
      </c>
      <c r="J518" s="13"/>
      <c r="K518" s="13"/>
      <c r="L518" s="4">
        <v>5</v>
      </c>
      <c r="M518" s="14">
        <f>137*(1-P3/100)</f>
        <v>137</v>
      </c>
      <c r="N518" s="15"/>
      <c r="O518" s="13">
        <f>M518*N518</f>
        <v>0</v>
      </c>
      <c r="P518" s="22">
        <f>0.072*N518</f>
        <v>0</v>
      </c>
      <c r="Q518" s="23">
        <f>0.00016*N518</f>
        <v>0</v>
      </c>
      <c r="R518" s="24"/>
      <c r="S518" s="25" t="s">
        <v>2185</v>
      </c>
      <c r="T518" s="25" t="s">
        <v>94</v>
      </c>
      <c r="U518" s="5"/>
      <c r="V518" s="5"/>
      <c r="W518" s="5" t="s">
        <v>46</v>
      </c>
      <c r="X518" s="5"/>
      <c r="Y518" s="5"/>
      <c r="Z518" s="5" t="str">
        <f>HYPERLINK("https://knigipp.ru/api/getInfo/image/db9acc1e-02ad-11ed-a213-ac1f6b442185")</f>
        <v>https://knigipp.ru/api/getInfo/image/db9acc1e-02ad-11ed-a213-ac1f6b442185</v>
      </c>
      <c r="AA518" s="33">
        <v>32</v>
      </c>
      <c r="AB518" s="5"/>
      <c r="AC518" s="5" t="s">
        <v>96</v>
      </c>
      <c r="AD518" s="5"/>
      <c r="AE518" s="5" t="s">
        <v>49</v>
      </c>
      <c r="AF518" s="5"/>
      <c r="AG518" s="5"/>
      <c r="AH518" s="5" t="s">
        <v>2177</v>
      </c>
    </row>
    <row r="519" spans="2:34" ht="22.95" customHeight="1" outlineLevel="3" x14ac:dyDescent="0.2">
      <c r="B519" s="74" t="s">
        <v>2186</v>
      </c>
      <c r="C519" s="74"/>
      <c r="D519" s="74"/>
    </row>
    <row r="520" spans="2:34" ht="21" customHeight="1" outlineLevel="4" x14ac:dyDescent="0.2">
      <c r="B520" s="4">
        <v>377</v>
      </c>
      <c r="C520" s="5" t="s">
        <v>2187</v>
      </c>
      <c r="D520" s="5" t="s">
        <v>2188</v>
      </c>
      <c r="E520" s="6" t="s">
        <v>2189</v>
      </c>
      <c r="F520" s="10"/>
      <c r="G520" s="11" t="s">
        <v>2190</v>
      </c>
      <c r="H520" s="12">
        <v>10</v>
      </c>
      <c r="I520" s="13" t="s">
        <v>41</v>
      </c>
      <c r="J520" s="13"/>
      <c r="K520" s="13"/>
      <c r="L520" s="4">
        <v>3</v>
      </c>
      <c r="M520" s="14">
        <f>249*(1-P3/100)</f>
        <v>249</v>
      </c>
      <c r="N520" s="15"/>
      <c r="O520" s="13">
        <f t="shared" ref="O520:O535" si="15">M520*N520</f>
        <v>0</v>
      </c>
      <c r="P520" s="22">
        <f>4.527*N520</f>
        <v>0</v>
      </c>
      <c r="Q520" s="23">
        <f>0.04438*N520</f>
        <v>0</v>
      </c>
      <c r="R520" s="24"/>
      <c r="S520" s="25" t="s">
        <v>2191</v>
      </c>
      <c r="T520" s="25" t="s">
        <v>94</v>
      </c>
      <c r="U520" s="5"/>
      <c r="V520" s="5"/>
      <c r="W520" s="5" t="s">
        <v>46</v>
      </c>
      <c r="X520" s="5"/>
      <c r="Y520" s="5"/>
      <c r="Z520" s="5" t="str">
        <f>HYPERLINK("https://knigipp.ru/api/getInfo/image/6540afb9-7973-11ea-a244-ac1f6b442184")</f>
        <v>https://knigipp.ru/api/getInfo/image/6540afb9-7973-11ea-a244-ac1f6b442184</v>
      </c>
      <c r="AA520" s="33">
        <v>144</v>
      </c>
      <c r="AB520" s="5"/>
      <c r="AC520" s="5" t="s">
        <v>86</v>
      </c>
      <c r="AD520" s="33">
        <v>100</v>
      </c>
      <c r="AE520" s="5" t="s">
        <v>49</v>
      </c>
      <c r="AF520" s="5"/>
      <c r="AG520" s="5"/>
      <c r="AH520" s="5" t="s">
        <v>1939</v>
      </c>
    </row>
    <row r="521" spans="2:34" ht="21" customHeight="1" outlineLevel="4" x14ac:dyDescent="0.2">
      <c r="B521" s="4">
        <v>378</v>
      </c>
      <c r="C521" s="5" t="s">
        <v>2192</v>
      </c>
      <c r="D521" s="5" t="s">
        <v>2193</v>
      </c>
      <c r="E521" s="6" t="s">
        <v>2194</v>
      </c>
      <c r="F521" s="10"/>
      <c r="G521" s="11" t="s">
        <v>2190</v>
      </c>
      <c r="H521" s="12">
        <v>10</v>
      </c>
      <c r="I521" s="13" t="s">
        <v>41</v>
      </c>
      <c r="J521" s="13"/>
      <c r="K521" s="13"/>
      <c r="L521" s="4">
        <v>3</v>
      </c>
      <c r="M521" s="14">
        <f>249*(1-P3/100)</f>
        <v>249</v>
      </c>
      <c r="N521" s="15"/>
      <c r="O521" s="13">
        <f t="shared" si="15"/>
        <v>0</v>
      </c>
      <c r="P521" s="13">
        <v>0</v>
      </c>
      <c r="Q521" s="13">
        <v>0</v>
      </c>
      <c r="R521" s="24"/>
      <c r="S521" s="25" t="s">
        <v>2195</v>
      </c>
      <c r="T521" s="25" t="s">
        <v>94</v>
      </c>
      <c r="U521" s="5"/>
      <c r="V521" s="5"/>
      <c r="W521" s="5" t="s">
        <v>46</v>
      </c>
      <c r="X521" s="5"/>
      <c r="Y521" s="5"/>
      <c r="Z521" s="5" t="str">
        <f>HYPERLINK("https://knigipp.ru/api/getInfo/image/d49fa9b2-6953-11ec-a20f-ac1f6b442185")</f>
        <v>https://knigipp.ru/api/getInfo/image/d49fa9b2-6953-11ec-a20f-ac1f6b442185</v>
      </c>
      <c r="AA521" s="33">
        <v>144</v>
      </c>
      <c r="AB521" s="5"/>
      <c r="AC521" s="5" t="s">
        <v>86</v>
      </c>
      <c r="AD521" s="33">
        <v>100</v>
      </c>
      <c r="AE521" s="5" t="s">
        <v>49</v>
      </c>
      <c r="AF521" s="5"/>
      <c r="AG521" s="5"/>
      <c r="AH521" s="5" t="s">
        <v>1939</v>
      </c>
    </row>
    <row r="522" spans="2:34" ht="21" customHeight="1" outlineLevel="4" x14ac:dyDescent="0.2">
      <c r="B522" s="4">
        <v>379</v>
      </c>
      <c r="C522" s="5" t="s">
        <v>2196</v>
      </c>
      <c r="D522" s="5" t="s">
        <v>2197</v>
      </c>
      <c r="E522" s="6" t="s">
        <v>2198</v>
      </c>
      <c r="F522" s="10"/>
      <c r="G522" s="11" t="s">
        <v>2190</v>
      </c>
      <c r="H522" s="12">
        <v>10</v>
      </c>
      <c r="I522" s="13" t="s">
        <v>41</v>
      </c>
      <c r="J522" s="13"/>
      <c r="K522" s="13"/>
      <c r="L522" s="4">
        <v>3</v>
      </c>
      <c r="M522" s="14">
        <f>249*(1-P3/100)</f>
        <v>249</v>
      </c>
      <c r="N522" s="15"/>
      <c r="O522" s="13">
        <f t="shared" si="15"/>
        <v>0</v>
      </c>
      <c r="P522" s="13">
        <v>0</v>
      </c>
      <c r="Q522" s="13">
        <v>0</v>
      </c>
      <c r="R522" s="24"/>
      <c r="S522" s="25" t="s">
        <v>2199</v>
      </c>
      <c r="T522" s="25" t="s">
        <v>94</v>
      </c>
      <c r="U522" s="5"/>
      <c r="V522" s="5"/>
      <c r="W522" s="5" t="s">
        <v>46</v>
      </c>
      <c r="X522" s="5"/>
      <c r="Y522" s="5"/>
      <c r="Z522" s="5" t="str">
        <f>HYPERLINK("https://knigipp.ru/api/getInfo/image/05920b56-6954-11ec-a20f-ac1f6b442185")</f>
        <v>https://knigipp.ru/api/getInfo/image/05920b56-6954-11ec-a20f-ac1f6b442185</v>
      </c>
      <c r="AA522" s="33">
        <v>144</v>
      </c>
      <c r="AB522" s="5"/>
      <c r="AC522" s="5" t="s">
        <v>86</v>
      </c>
      <c r="AD522" s="33">
        <v>100</v>
      </c>
      <c r="AE522" s="5" t="s">
        <v>49</v>
      </c>
      <c r="AF522" s="5"/>
      <c r="AG522" s="5"/>
      <c r="AH522" s="5" t="s">
        <v>1939</v>
      </c>
    </row>
    <row r="523" spans="2:34" ht="21" customHeight="1" outlineLevel="4" x14ac:dyDescent="0.2">
      <c r="B523" s="4">
        <v>380</v>
      </c>
      <c r="C523" s="5" t="s">
        <v>2200</v>
      </c>
      <c r="D523" s="5" t="s">
        <v>2201</v>
      </c>
      <c r="E523" s="6" t="s">
        <v>2202</v>
      </c>
      <c r="F523" s="10"/>
      <c r="G523" s="11"/>
      <c r="H523" s="12">
        <v>10</v>
      </c>
      <c r="I523" s="13" t="s">
        <v>41</v>
      </c>
      <c r="J523" s="13"/>
      <c r="K523" s="13"/>
      <c r="L523" s="4">
        <v>3</v>
      </c>
      <c r="M523" s="14">
        <f>249*(1-P3/100)</f>
        <v>249</v>
      </c>
      <c r="N523" s="15"/>
      <c r="O523" s="13">
        <f t="shared" si="15"/>
        <v>0</v>
      </c>
      <c r="P523" s="13">
        <v>0</v>
      </c>
      <c r="Q523" s="13">
        <v>0</v>
      </c>
      <c r="R523" s="24"/>
      <c r="S523" s="25" t="s">
        <v>2203</v>
      </c>
      <c r="T523" s="25" t="s">
        <v>94</v>
      </c>
      <c r="U523" s="5"/>
      <c r="V523" s="5"/>
      <c r="W523" s="5" t="s">
        <v>46</v>
      </c>
      <c r="X523" s="5" t="s">
        <v>2204</v>
      </c>
      <c r="Y523" s="5"/>
      <c r="Z523" s="5" t="str">
        <f>HYPERLINK("https://knigipp.ru/api/getInfo/image/9a5748f5-669c-11ee-a245-00155d82e902")</f>
        <v>https://knigipp.ru/api/getInfo/image/9a5748f5-669c-11ee-a245-00155d82e902</v>
      </c>
      <c r="AA523" s="33">
        <v>144</v>
      </c>
      <c r="AB523" s="5" t="s">
        <v>574</v>
      </c>
      <c r="AC523" s="5" t="s">
        <v>86</v>
      </c>
      <c r="AD523" s="33">
        <v>100</v>
      </c>
      <c r="AE523" s="5" t="s">
        <v>49</v>
      </c>
      <c r="AF523" s="5"/>
      <c r="AG523" s="5"/>
      <c r="AH523" s="5" t="s">
        <v>1939</v>
      </c>
    </row>
    <row r="524" spans="2:34" ht="21" customHeight="1" outlineLevel="4" x14ac:dyDescent="0.2">
      <c r="B524" s="4">
        <v>381</v>
      </c>
      <c r="C524" s="5" t="s">
        <v>2205</v>
      </c>
      <c r="D524" s="5" t="s">
        <v>2206</v>
      </c>
      <c r="E524" s="6" t="s">
        <v>2207</v>
      </c>
      <c r="F524" s="10"/>
      <c r="G524" s="11" t="s">
        <v>2190</v>
      </c>
      <c r="H524" s="12">
        <v>10</v>
      </c>
      <c r="I524" s="13" t="s">
        <v>371</v>
      </c>
      <c r="J524" s="13"/>
      <c r="K524" s="13"/>
      <c r="L524" s="4">
        <v>3</v>
      </c>
      <c r="M524" s="14">
        <f>249*(1-P3/100)</f>
        <v>249</v>
      </c>
      <c r="N524" s="15"/>
      <c r="O524" s="13">
        <f t="shared" si="15"/>
        <v>0</v>
      </c>
      <c r="P524" s="32">
        <f>0.28*N524</f>
        <v>0</v>
      </c>
      <c r="Q524" s="23">
        <f>0.00044*N524</f>
        <v>0</v>
      </c>
      <c r="R524" s="24"/>
      <c r="S524" s="25" t="s">
        <v>2208</v>
      </c>
      <c r="T524" s="25" t="s">
        <v>94</v>
      </c>
      <c r="U524" s="5"/>
      <c r="V524" s="5"/>
      <c r="W524" s="5" t="s">
        <v>46</v>
      </c>
      <c r="X524" s="5"/>
      <c r="Y524" s="5"/>
      <c r="Z524" s="5" t="str">
        <f>HYPERLINK("https://knigipp.ru/api/getInfo/image/007a2298-9dc2-11eb-a201-ac1f6b442185")</f>
        <v>https://knigipp.ru/api/getInfo/image/007a2298-9dc2-11eb-a201-ac1f6b442185</v>
      </c>
      <c r="AA524" s="33">
        <v>144</v>
      </c>
      <c r="AB524" s="5"/>
      <c r="AC524" s="5" t="s">
        <v>86</v>
      </c>
      <c r="AD524" s="33">
        <v>100</v>
      </c>
      <c r="AE524" s="5" t="s">
        <v>49</v>
      </c>
      <c r="AF524" s="5"/>
      <c r="AG524" s="5"/>
      <c r="AH524" s="5" t="s">
        <v>1939</v>
      </c>
    </row>
    <row r="525" spans="2:34" ht="21" customHeight="1" outlineLevel="4" x14ac:dyDescent="0.2">
      <c r="B525" s="4">
        <v>382</v>
      </c>
      <c r="C525" s="5" t="s">
        <v>2209</v>
      </c>
      <c r="D525" s="5" t="s">
        <v>2210</v>
      </c>
      <c r="E525" s="6" t="s">
        <v>2211</v>
      </c>
      <c r="F525" s="10"/>
      <c r="G525" s="11" t="s">
        <v>2190</v>
      </c>
      <c r="H525" s="12">
        <v>10</v>
      </c>
      <c r="I525" s="13" t="s">
        <v>371</v>
      </c>
      <c r="J525" s="13"/>
      <c r="K525" s="13"/>
      <c r="L525" s="4">
        <v>3</v>
      </c>
      <c r="M525" s="14">
        <f>249*(1-P3/100)</f>
        <v>249</v>
      </c>
      <c r="N525" s="15"/>
      <c r="O525" s="13">
        <f t="shared" si="15"/>
        <v>0</v>
      </c>
      <c r="P525" s="13">
        <v>0</v>
      </c>
      <c r="Q525" s="13">
        <v>0</v>
      </c>
      <c r="R525" s="24"/>
      <c r="S525" s="25" t="s">
        <v>2212</v>
      </c>
      <c r="T525" s="25" t="s">
        <v>94</v>
      </c>
      <c r="U525" s="5"/>
      <c r="V525" s="5"/>
      <c r="W525" s="5" t="s">
        <v>46</v>
      </c>
      <c r="X525" s="5"/>
      <c r="Y525" s="5"/>
      <c r="Z525" s="5" t="str">
        <f>HYPERLINK("https://knigipp.ru/api/getInfo/image/929eb51c-c2d4-11eb-a206-ac1f6b442185")</f>
        <v>https://knigipp.ru/api/getInfo/image/929eb51c-c2d4-11eb-a206-ac1f6b442185</v>
      </c>
      <c r="AA525" s="33">
        <v>144</v>
      </c>
      <c r="AB525" s="5"/>
      <c r="AC525" s="5" t="s">
        <v>86</v>
      </c>
      <c r="AD525" s="33">
        <v>100</v>
      </c>
      <c r="AE525" s="5" t="s">
        <v>49</v>
      </c>
      <c r="AF525" s="5"/>
      <c r="AG525" s="5"/>
      <c r="AH525" s="5" t="s">
        <v>1939</v>
      </c>
    </row>
    <row r="526" spans="2:34" ht="21" customHeight="1" outlineLevel="4" x14ac:dyDescent="0.2">
      <c r="B526" s="4">
        <v>383</v>
      </c>
      <c r="C526" s="5" t="s">
        <v>2213</v>
      </c>
      <c r="D526" s="5" t="s">
        <v>2214</v>
      </c>
      <c r="E526" s="6" t="s">
        <v>2215</v>
      </c>
      <c r="F526" s="10"/>
      <c r="G526" s="11" t="s">
        <v>2190</v>
      </c>
      <c r="H526" s="12">
        <v>10</v>
      </c>
      <c r="I526" s="13" t="s">
        <v>261</v>
      </c>
      <c r="J526" s="13"/>
      <c r="K526" s="13"/>
      <c r="L526" s="4">
        <v>3</v>
      </c>
      <c r="M526" s="14">
        <f>249*(1-P3/100)</f>
        <v>249</v>
      </c>
      <c r="N526" s="15"/>
      <c r="O526" s="13">
        <f t="shared" si="15"/>
        <v>0</v>
      </c>
      <c r="P526" s="32">
        <f>0.28*N526</f>
        <v>0</v>
      </c>
      <c r="Q526" s="23">
        <f>0.00044*N526</f>
        <v>0</v>
      </c>
      <c r="R526" s="24"/>
      <c r="S526" s="25" t="s">
        <v>2216</v>
      </c>
      <c r="T526" s="25" t="s">
        <v>94</v>
      </c>
      <c r="U526" s="5"/>
      <c r="V526" s="5"/>
      <c r="W526" s="5" t="s">
        <v>46</v>
      </c>
      <c r="X526" s="5"/>
      <c r="Y526" s="5"/>
      <c r="Z526" s="5" t="str">
        <f>HYPERLINK("https://knigipp.ru/api/getInfo/image/2ef917ca-6a7a-11ea-a243-ac1f6b442184")</f>
        <v>https://knigipp.ru/api/getInfo/image/2ef917ca-6a7a-11ea-a243-ac1f6b442184</v>
      </c>
      <c r="AA526" s="33">
        <v>144</v>
      </c>
      <c r="AB526" s="5"/>
      <c r="AC526" s="5" t="s">
        <v>86</v>
      </c>
      <c r="AD526" s="33">
        <v>100</v>
      </c>
      <c r="AE526" s="5" t="s">
        <v>49</v>
      </c>
      <c r="AF526" s="5"/>
      <c r="AG526" s="5"/>
      <c r="AH526" s="5" t="s">
        <v>1939</v>
      </c>
    </row>
    <row r="527" spans="2:34" ht="21" customHeight="1" outlineLevel="4" x14ac:dyDescent="0.2">
      <c r="B527" s="4">
        <v>384</v>
      </c>
      <c r="C527" s="5" t="s">
        <v>2217</v>
      </c>
      <c r="D527" s="5" t="s">
        <v>2218</v>
      </c>
      <c r="E527" s="6" t="s">
        <v>2219</v>
      </c>
      <c r="F527" s="10"/>
      <c r="G527" s="11" t="s">
        <v>2190</v>
      </c>
      <c r="H527" s="12">
        <v>10</v>
      </c>
      <c r="I527" s="13" t="s">
        <v>371</v>
      </c>
      <c r="J527" s="13"/>
      <c r="K527" s="13"/>
      <c r="L527" s="4">
        <v>3</v>
      </c>
      <c r="M527" s="14">
        <f>249*(1-P3/100)</f>
        <v>249</v>
      </c>
      <c r="N527" s="15"/>
      <c r="O527" s="13">
        <f t="shared" si="15"/>
        <v>0</v>
      </c>
      <c r="P527" s="32">
        <f>0.28*N527</f>
        <v>0</v>
      </c>
      <c r="Q527" s="23">
        <f>0.00044*N527</f>
        <v>0</v>
      </c>
      <c r="R527" s="24"/>
      <c r="S527" s="25" t="s">
        <v>2220</v>
      </c>
      <c r="T527" s="25" t="s">
        <v>94</v>
      </c>
      <c r="U527" s="5"/>
      <c r="V527" s="5"/>
      <c r="W527" s="5" t="s">
        <v>46</v>
      </c>
      <c r="X527" s="5"/>
      <c r="Y527" s="5"/>
      <c r="Z527" s="5" t="str">
        <f>HYPERLINK("https://knigipp.ru/api/getInfo/image/aad5b3f7-7b5e-11eb-a275-ac1f6b442184")</f>
        <v>https://knigipp.ru/api/getInfo/image/aad5b3f7-7b5e-11eb-a275-ac1f6b442184</v>
      </c>
      <c r="AA527" s="33">
        <v>144</v>
      </c>
      <c r="AB527" s="5"/>
      <c r="AC527" s="5" t="s">
        <v>86</v>
      </c>
      <c r="AD527" s="33">
        <v>100</v>
      </c>
      <c r="AE527" s="5" t="s">
        <v>49</v>
      </c>
      <c r="AF527" s="5"/>
      <c r="AG527" s="5"/>
      <c r="AH527" s="5" t="s">
        <v>1939</v>
      </c>
    </row>
    <row r="528" spans="2:34" ht="21" customHeight="1" outlineLevel="4" x14ac:dyDescent="0.2">
      <c r="B528" s="4">
        <v>385</v>
      </c>
      <c r="C528" s="5" t="s">
        <v>2221</v>
      </c>
      <c r="D528" s="5" t="s">
        <v>2222</v>
      </c>
      <c r="E528" s="6" t="s">
        <v>2223</v>
      </c>
      <c r="F528" s="10"/>
      <c r="G528" s="11" t="s">
        <v>2190</v>
      </c>
      <c r="H528" s="12">
        <v>10</v>
      </c>
      <c r="I528" s="13" t="s">
        <v>41</v>
      </c>
      <c r="J528" s="13"/>
      <c r="K528" s="13"/>
      <c r="L528" s="4">
        <v>3</v>
      </c>
      <c r="M528" s="14">
        <f>249*(1-P3/100)</f>
        <v>249</v>
      </c>
      <c r="N528" s="15"/>
      <c r="O528" s="13">
        <f t="shared" si="15"/>
        <v>0</v>
      </c>
      <c r="P528" s="22">
        <f>0.362*N528</f>
        <v>0</v>
      </c>
      <c r="Q528" s="23">
        <f>0.00213*N528</f>
        <v>0</v>
      </c>
      <c r="R528" s="24"/>
      <c r="S528" s="25" t="s">
        <v>2224</v>
      </c>
      <c r="T528" s="25" t="s">
        <v>94</v>
      </c>
      <c r="U528" s="5"/>
      <c r="V528" s="5"/>
      <c r="W528" s="5" t="s">
        <v>46</v>
      </c>
      <c r="X528" s="5"/>
      <c r="Y528" s="5"/>
      <c r="Z528" s="5" t="str">
        <f>HYPERLINK("https://knigipp.ru/api/getInfo/image/d2fd8f52-841a-11ec-a211-ac1f6b442185")</f>
        <v>https://knigipp.ru/api/getInfo/image/d2fd8f52-841a-11ec-a211-ac1f6b442185</v>
      </c>
      <c r="AA528" s="33">
        <v>144</v>
      </c>
      <c r="AB528" s="5"/>
      <c r="AC528" s="5" t="s">
        <v>86</v>
      </c>
      <c r="AD528" s="33">
        <v>100</v>
      </c>
      <c r="AE528" s="5" t="s">
        <v>49</v>
      </c>
      <c r="AF528" s="5"/>
      <c r="AG528" s="5"/>
      <c r="AH528" s="5" t="s">
        <v>1939</v>
      </c>
    </row>
    <row r="529" spans="2:34" ht="21" customHeight="1" outlineLevel="4" x14ac:dyDescent="0.2">
      <c r="B529" s="4">
        <v>386</v>
      </c>
      <c r="C529" s="5" t="s">
        <v>2225</v>
      </c>
      <c r="D529" s="5" t="s">
        <v>2226</v>
      </c>
      <c r="E529" s="6" t="s">
        <v>2227</v>
      </c>
      <c r="F529" s="10"/>
      <c r="G529" s="11" t="s">
        <v>2190</v>
      </c>
      <c r="H529" s="12">
        <v>10</v>
      </c>
      <c r="I529" s="13" t="s">
        <v>41</v>
      </c>
      <c r="J529" s="13"/>
      <c r="K529" s="13"/>
      <c r="L529" s="4">
        <v>3</v>
      </c>
      <c r="M529" s="14">
        <f>249*(1-P3/100)</f>
        <v>249</v>
      </c>
      <c r="N529" s="15"/>
      <c r="O529" s="13">
        <f t="shared" si="15"/>
        <v>0</v>
      </c>
      <c r="P529" s="13">
        <v>0</v>
      </c>
      <c r="Q529" s="13">
        <v>0</v>
      </c>
      <c r="R529" s="24"/>
      <c r="S529" s="25" t="s">
        <v>2228</v>
      </c>
      <c r="T529" s="25" t="s">
        <v>94</v>
      </c>
      <c r="U529" s="5"/>
      <c r="V529" s="5"/>
      <c r="W529" s="5" t="s">
        <v>46</v>
      </c>
      <c r="X529" s="5"/>
      <c r="Y529" s="5"/>
      <c r="Z529" s="5" t="str">
        <f>HYPERLINK("https://knigipp.ru/api/getInfo/image/1b5c6582-5364-11ec-a20f-ac1f6b442185")</f>
        <v>https://knigipp.ru/api/getInfo/image/1b5c6582-5364-11ec-a20f-ac1f6b442185</v>
      </c>
      <c r="AA529" s="33">
        <v>144</v>
      </c>
      <c r="AB529" s="5"/>
      <c r="AC529" s="5" t="s">
        <v>86</v>
      </c>
      <c r="AD529" s="33">
        <v>100</v>
      </c>
      <c r="AE529" s="5" t="s">
        <v>49</v>
      </c>
      <c r="AF529" s="5"/>
      <c r="AG529" s="5"/>
      <c r="AH529" s="5" t="s">
        <v>1939</v>
      </c>
    </row>
    <row r="530" spans="2:34" ht="21" customHeight="1" outlineLevel="4" x14ac:dyDescent="0.2">
      <c r="B530" s="4">
        <v>387</v>
      </c>
      <c r="C530" s="5" t="s">
        <v>2229</v>
      </c>
      <c r="D530" s="5" t="s">
        <v>2230</v>
      </c>
      <c r="E530" s="6" t="s">
        <v>2231</v>
      </c>
      <c r="F530" s="10"/>
      <c r="G530" s="11"/>
      <c r="H530" s="12">
        <v>10</v>
      </c>
      <c r="I530" s="13" t="s">
        <v>41</v>
      </c>
      <c r="J530" s="13"/>
      <c r="K530" s="13"/>
      <c r="L530" s="4">
        <v>3</v>
      </c>
      <c r="M530" s="14">
        <f>249*(1-P3/100)</f>
        <v>249</v>
      </c>
      <c r="N530" s="15"/>
      <c r="O530" s="13">
        <f t="shared" si="15"/>
        <v>0</v>
      </c>
      <c r="P530" s="13">
        <v>0</v>
      </c>
      <c r="Q530" s="13">
        <v>0</v>
      </c>
      <c r="R530" s="24"/>
      <c r="S530" s="25" t="s">
        <v>2232</v>
      </c>
      <c r="T530" s="25" t="s">
        <v>94</v>
      </c>
      <c r="U530" s="5"/>
      <c r="V530" s="5"/>
      <c r="W530" s="5" t="s">
        <v>46</v>
      </c>
      <c r="X530" s="5" t="s">
        <v>2204</v>
      </c>
      <c r="Y530" s="5"/>
      <c r="Z530" s="5" t="str">
        <f>HYPERLINK("https://knigipp.ru/api/getInfo/image/cc619931-669c-11ee-a245-00155d82e902")</f>
        <v>https://knigipp.ru/api/getInfo/image/cc619931-669c-11ee-a245-00155d82e902</v>
      </c>
      <c r="AA530" s="33">
        <v>144</v>
      </c>
      <c r="AB530" s="5" t="s">
        <v>574</v>
      </c>
      <c r="AC530" s="5" t="s">
        <v>86</v>
      </c>
      <c r="AD530" s="33">
        <v>100</v>
      </c>
      <c r="AE530" s="5" t="s">
        <v>49</v>
      </c>
      <c r="AF530" s="5"/>
      <c r="AG530" s="5"/>
      <c r="AH530" s="5" t="s">
        <v>1939</v>
      </c>
    </row>
    <row r="531" spans="2:34" ht="21" customHeight="1" outlineLevel="4" x14ac:dyDescent="0.2">
      <c r="B531" s="4">
        <v>388</v>
      </c>
      <c r="C531" s="5" t="s">
        <v>2233</v>
      </c>
      <c r="D531" s="5" t="s">
        <v>2234</v>
      </c>
      <c r="E531" s="6" t="s">
        <v>2235</v>
      </c>
      <c r="F531" s="10"/>
      <c r="G531" s="11" t="s">
        <v>2190</v>
      </c>
      <c r="H531" s="12">
        <v>10</v>
      </c>
      <c r="I531" s="13" t="s">
        <v>41</v>
      </c>
      <c r="J531" s="13"/>
      <c r="K531" s="13"/>
      <c r="L531" s="4">
        <v>3</v>
      </c>
      <c r="M531" s="14">
        <f>249*(1-P3/100)</f>
        <v>249</v>
      </c>
      <c r="N531" s="15"/>
      <c r="O531" s="13">
        <f t="shared" si="15"/>
        <v>0</v>
      </c>
      <c r="P531" s="32">
        <f>0.28*N531</f>
        <v>0</v>
      </c>
      <c r="Q531" s="23">
        <f>0.00044*N531</f>
        <v>0</v>
      </c>
      <c r="R531" s="24"/>
      <c r="S531" s="25" t="s">
        <v>2236</v>
      </c>
      <c r="T531" s="25" t="s">
        <v>94</v>
      </c>
      <c r="U531" s="5"/>
      <c r="V531" s="5"/>
      <c r="W531" s="5" t="s">
        <v>46</v>
      </c>
      <c r="X531" s="5"/>
      <c r="Y531" s="5"/>
      <c r="Z531" s="5" t="str">
        <f>HYPERLINK("https://knigipp.ru/api/getInfo/image/8050db11-7b5e-11eb-a275-ac1f6b442184")</f>
        <v>https://knigipp.ru/api/getInfo/image/8050db11-7b5e-11eb-a275-ac1f6b442184</v>
      </c>
      <c r="AA531" s="33">
        <v>144</v>
      </c>
      <c r="AB531" s="5"/>
      <c r="AC531" s="5" t="s">
        <v>86</v>
      </c>
      <c r="AD531" s="33">
        <v>100</v>
      </c>
      <c r="AE531" s="5" t="s">
        <v>49</v>
      </c>
      <c r="AF531" s="5"/>
      <c r="AG531" s="5"/>
      <c r="AH531" s="5" t="s">
        <v>1939</v>
      </c>
    </row>
    <row r="532" spans="2:34" ht="21" customHeight="1" outlineLevel="4" x14ac:dyDescent="0.2">
      <c r="B532" s="4">
        <v>389</v>
      </c>
      <c r="C532" s="5" t="s">
        <v>2237</v>
      </c>
      <c r="D532" s="5" t="s">
        <v>2238</v>
      </c>
      <c r="E532" s="6" t="s">
        <v>2239</v>
      </c>
      <c r="F532" s="10"/>
      <c r="G532" s="11" t="s">
        <v>2190</v>
      </c>
      <c r="H532" s="12">
        <v>10</v>
      </c>
      <c r="I532" s="13" t="s">
        <v>41</v>
      </c>
      <c r="J532" s="13"/>
      <c r="K532" s="13"/>
      <c r="L532" s="4">
        <v>3</v>
      </c>
      <c r="M532" s="14">
        <f>249*(1-P3/100)</f>
        <v>249</v>
      </c>
      <c r="N532" s="15"/>
      <c r="O532" s="13">
        <f t="shared" si="15"/>
        <v>0</v>
      </c>
      <c r="P532" s="22">
        <f>0.278*N532</f>
        <v>0</v>
      </c>
      <c r="Q532" s="23">
        <f>0.00037*N532</f>
        <v>0</v>
      </c>
      <c r="R532" s="24"/>
      <c r="S532" s="25" t="s">
        <v>2240</v>
      </c>
      <c r="T532" s="25" t="s">
        <v>94</v>
      </c>
      <c r="U532" s="5"/>
      <c r="V532" s="5"/>
      <c r="W532" s="5" t="s">
        <v>46</v>
      </c>
      <c r="X532" s="5"/>
      <c r="Y532" s="5"/>
      <c r="Z532" s="5" t="str">
        <f>HYPERLINK("https://knigipp.ru/api/getInfo/image/29ea7db2-e48a-11ef-a274-00155d82e908")</f>
        <v>https://knigipp.ru/api/getInfo/image/29ea7db2-e48a-11ef-a274-00155d82e908</v>
      </c>
      <c r="AA532" s="33">
        <v>144</v>
      </c>
      <c r="AB532" s="5"/>
      <c r="AC532" s="5" t="s">
        <v>86</v>
      </c>
      <c r="AD532" s="33">
        <v>100</v>
      </c>
      <c r="AE532" s="5" t="s">
        <v>49</v>
      </c>
      <c r="AF532" s="5"/>
      <c r="AG532" s="5"/>
      <c r="AH532" s="5" t="s">
        <v>1939</v>
      </c>
    </row>
    <row r="533" spans="2:34" ht="21" customHeight="1" outlineLevel="4" x14ac:dyDescent="0.2">
      <c r="B533" s="4">
        <v>390</v>
      </c>
      <c r="C533" s="5" t="s">
        <v>2241</v>
      </c>
      <c r="D533" s="5" t="s">
        <v>2242</v>
      </c>
      <c r="E533" s="6" t="s">
        <v>2243</v>
      </c>
      <c r="F533" s="10"/>
      <c r="G533" s="11" t="s">
        <v>2190</v>
      </c>
      <c r="H533" s="12">
        <v>10</v>
      </c>
      <c r="I533" s="13" t="s">
        <v>41</v>
      </c>
      <c r="J533" s="13"/>
      <c r="K533" s="13"/>
      <c r="L533" s="4">
        <v>3</v>
      </c>
      <c r="M533" s="14">
        <f>249*(1-P3/100)</f>
        <v>249</v>
      </c>
      <c r="N533" s="15"/>
      <c r="O533" s="13">
        <f t="shared" si="15"/>
        <v>0</v>
      </c>
      <c r="P533" s="32">
        <f>0.28*N533</f>
        <v>0</v>
      </c>
      <c r="Q533" s="23">
        <f>0.00044*N533</f>
        <v>0</v>
      </c>
      <c r="R533" s="24"/>
      <c r="S533" s="25" t="s">
        <v>2244</v>
      </c>
      <c r="T533" s="25" t="s">
        <v>94</v>
      </c>
      <c r="U533" s="5"/>
      <c r="V533" s="5"/>
      <c r="W533" s="5" t="s">
        <v>46</v>
      </c>
      <c r="X533" s="5"/>
      <c r="Y533" s="5"/>
      <c r="Z533" s="5" t="str">
        <f>HYPERLINK("https://knigipp.ru/api/getInfo/image/6bd0cf9d-1511-11ea-a237-ac1f6b442184")</f>
        <v>https://knigipp.ru/api/getInfo/image/6bd0cf9d-1511-11ea-a237-ac1f6b442184</v>
      </c>
      <c r="AA533" s="33">
        <v>144</v>
      </c>
      <c r="AB533" s="5"/>
      <c r="AC533" s="5" t="s">
        <v>86</v>
      </c>
      <c r="AD533" s="5"/>
      <c r="AE533" s="5" t="s">
        <v>49</v>
      </c>
      <c r="AF533" s="5"/>
      <c r="AG533" s="5"/>
      <c r="AH533" s="5" t="s">
        <v>1939</v>
      </c>
    </row>
    <row r="534" spans="2:34" ht="21" customHeight="1" outlineLevel="4" x14ac:dyDescent="0.2">
      <c r="B534" s="4">
        <v>391</v>
      </c>
      <c r="C534" s="5" t="s">
        <v>2245</v>
      </c>
      <c r="D534" s="5" t="s">
        <v>2246</v>
      </c>
      <c r="E534" s="6" t="s">
        <v>2247</v>
      </c>
      <c r="F534" s="10"/>
      <c r="G534" s="11" t="s">
        <v>2190</v>
      </c>
      <c r="H534" s="12">
        <v>10</v>
      </c>
      <c r="I534" s="13" t="s">
        <v>41</v>
      </c>
      <c r="J534" s="13"/>
      <c r="K534" s="13"/>
      <c r="L534" s="4">
        <v>3</v>
      </c>
      <c r="M534" s="14">
        <f>249*(1-P3/100)</f>
        <v>249</v>
      </c>
      <c r="N534" s="15"/>
      <c r="O534" s="13">
        <f t="shared" si="15"/>
        <v>0</v>
      </c>
      <c r="P534" s="13">
        <v>0</v>
      </c>
      <c r="Q534" s="13">
        <v>0</v>
      </c>
      <c r="R534" s="24"/>
      <c r="S534" s="25" t="s">
        <v>2248</v>
      </c>
      <c r="T534" s="25" t="s">
        <v>94</v>
      </c>
      <c r="U534" s="5"/>
      <c r="V534" s="5"/>
      <c r="W534" s="5" t="s">
        <v>46</v>
      </c>
      <c r="X534" s="5"/>
      <c r="Y534" s="5"/>
      <c r="Z534" s="5" t="str">
        <f>HYPERLINK("https://knigipp.ru/api/getInfo/image/a58268dd-841a-11ec-a211-ac1f6b442185")</f>
        <v>https://knigipp.ru/api/getInfo/image/a58268dd-841a-11ec-a211-ac1f6b442185</v>
      </c>
      <c r="AA534" s="33">
        <v>144</v>
      </c>
      <c r="AB534" s="5"/>
      <c r="AC534" s="5" t="s">
        <v>86</v>
      </c>
      <c r="AD534" s="33">
        <v>100</v>
      </c>
      <c r="AE534" s="5" t="s">
        <v>49</v>
      </c>
      <c r="AF534" s="5"/>
      <c r="AG534" s="5"/>
      <c r="AH534" s="5" t="s">
        <v>1939</v>
      </c>
    </row>
    <row r="535" spans="2:34" ht="21" customHeight="1" outlineLevel="4" x14ac:dyDescent="0.2">
      <c r="B535" s="4">
        <v>392</v>
      </c>
      <c r="C535" s="5" t="s">
        <v>2249</v>
      </c>
      <c r="D535" s="5" t="s">
        <v>2250</v>
      </c>
      <c r="E535" s="6" t="s">
        <v>2251</v>
      </c>
      <c r="F535" s="10"/>
      <c r="G535" s="11" t="s">
        <v>2190</v>
      </c>
      <c r="H535" s="12">
        <v>10</v>
      </c>
      <c r="I535" s="13" t="s">
        <v>41</v>
      </c>
      <c r="J535" s="13"/>
      <c r="K535" s="13"/>
      <c r="L535" s="4">
        <v>3</v>
      </c>
      <c r="M535" s="14">
        <f>249*(1-P3/100)</f>
        <v>249</v>
      </c>
      <c r="N535" s="15"/>
      <c r="O535" s="13">
        <f t="shared" si="15"/>
        <v>0</v>
      </c>
      <c r="P535" s="32">
        <f>0.28*N535</f>
        <v>0</v>
      </c>
      <c r="Q535" s="23">
        <f>0.00044*N535</f>
        <v>0</v>
      </c>
      <c r="R535" s="24"/>
      <c r="S535" s="25" t="s">
        <v>2252</v>
      </c>
      <c r="T535" s="25" t="s">
        <v>94</v>
      </c>
      <c r="U535" s="5"/>
      <c r="V535" s="5"/>
      <c r="W535" s="5" t="s">
        <v>46</v>
      </c>
      <c r="X535" s="5"/>
      <c r="Y535" s="5"/>
      <c r="Z535" s="5" t="str">
        <f>HYPERLINK("https://knigipp.ru/api/getInfo/image/5e7b6d77-a966-11ea-a248-ac1f6b442184")</f>
        <v>https://knigipp.ru/api/getInfo/image/5e7b6d77-a966-11ea-a248-ac1f6b442184</v>
      </c>
      <c r="AA535" s="33">
        <v>144</v>
      </c>
      <c r="AB535" s="5"/>
      <c r="AC535" s="5" t="s">
        <v>86</v>
      </c>
      <c r="AD535" s="33">
        <v>100</v>
      </c>
      <c r="AE535" s="5" t="s">
        <v>49</v>
      </c>
      <c r="AF535" s="5"/>
      <c r="AG535" s="5"/>
      <c r="AH535" s="5" t="s">
        <v>1939</v>
      </c>
    </row>
    <row r="536" spans="2:34" ht="22.95" customHeight="1" outlineLevel="3" x14ac:dyDescent="0.2">
      <c r="B536" s="74" t="s">
        <v>2253</v>
      </c>
      <c r="C536" s="74"/>
      <c r="D536" s="74"/>
    </row>
    <row r="537" spans="2:34" ht="21" customHeight="1" outlineLevel="4" x14ac:dyDescent="0.2">
      <c r="B537" s="4">
        <v>393</v>
      </c>
      <c r="C537" s="5" t="s">
        <v>2254</v>
      </c>
      <c r="D537" s="5" t="s">
        <v>2255</v>
      </c>
      <c r="E537" s="6" t="s">
        <v>2256</v>
      </c>
      <c r="F537" s="10"/>
      <c r="G537" s="11" t="s">
        <v>2257</v>
      </c>
      <c r="H537" s="12">
        <v>10</v>
      </c>
      <c r="I537" s="13" t="s">
        <v>41</v>
      </c>
      <c r="J537" s="13"/>
      <c r="K537" s="13"/>
      <c r="L537" s="4">
        <v>3</v>
      </c>
      <c r="M537" s="14">
        <f>209*(1-P3/100)</f>
        <v>209</v>
      </c>
      <c r="N537" s="15"/>
      <c r="O537" s="13">
        <f>M537*N537</f>
        <v>0</v>
      </c>
      <c r="P537" s="22">
        <f>0.201*N537</f>
        <v>0</v>
      </c>
      <c r="Q537" s="23">
        <f>0.00036*N537</f>
        <v>0</v>
      </c>
      <c r="R537" s="24"/>
      <c r="S537" s="25" t="s">
        <v>2258</v>
      </c>
      <c r="T537" s="25" t="s">
        <v>94</v>
      </c>
      <c r="U537" s="5"/>
      <c r="V537" s="5"/>
      <c r="W537" s="5" t="s">
        <v>46</v>
      </c>
      <c r="X537" s="5"/>
      <c r="Y537" s="5"/>
      <c r="Z537" s="5" t="str">
        <f>HYPERLINK("https://knigipp.ru/api/getInfo/image/dc97e5ec-c715-11ed-a230-00155d82e902")</f>
        <v>https://knigipp.ru/api/getInfo/image/dc97e5ec-c715-11ed-a230-00155d82e902</v>
      </c>
      <c r="AA537" s="33">
        <v>128</v>
      </c>
      <c r="AB537" s="5" t="s">
        <v>2259</v>
      </c>
      <c r="AC537" s="5" t="s">
        <v>86</v>
      </c>
      <c r="AD537" s="5"/>
      <c r="AE537" s="5" t="s">
        <v>49</v>
      </c>
      <c r="AF537" s="5"/>
      <c r="AG537" s="5"/>
      <c r="AH537" s="5" t="s">
        <v>2260</v>
      </c>
    </row>
    <row r="538" spans="2:34" ht="21" customHeight="1" outlineLevel="4" x14ac:dyDescent="0.2">
      <c r="B538" s="4">
        <v>394</v>
      </c>
      <c r="C538" s="5" t="s">
        <v>2261</v>
      </c>
      <c r="D538" s="5" t="s">
        <v>2262</v>
      </c>
      <c r="E538" s="6" t="s">
        <v>2263</v>
      </c>
      <c r="F538" s="10"/>
      <c r="G538" s="11" t="s">
        <v>2257</v>
      </c>
      <c r="H538" s="12">
        <v>10</v>
      </c>
      <c r="I538" s="13" t="s">
        <v>41</v>
      </c>
      <c r="J538" s="13"/>
      <c r="K538" s="13"/>
      <c r="L538" s="4">
        <v>3</v>
      </c>
      <c r="M538" s="14">
        <f>209*(1-P3/100)</f>
        <v>209</v>
      </c>
      <c r="N538" s="15"/>
      <c r="O538" s="13">
        <f>M538*N538</f>
        <v>0</v>
      </c>
      <c r="P538" s="22">
        <f>0.204*N538</f>
        <v>0</v>
      </c>
      <c r="Q538" s="23">
        <f>0.00029*N538</f>
        <v>0</v>
      </c>
      <c r="R538" s="24"/>
      <c r="S538" s="25" t="s">
        <v>2264</v>
      </c>
      <c r="T538" s="25" t="s">
        <v>94</v>
      </c>
      <c r="U538" s="5"/>
      <c r="V538" s="5" t="s">
        <v>2265</v>
      </c>
      <c r="W538" s="5" t="s">
        <v>46</v>
      </c>
      <c r="X538" s="5"/>
      <c r="Y538" s="5"/>
      <c r="Z538" s="5" t="str">
        <f>HYPERLINK("https://knigipp.ru/api/getInfo/image/ac3f6da8-c715-11ed-a230-00155d82e902")</f>
        <v>https://knigipp.ru/api/getInfo/image/ac3f6da8-c715-11ed-a230-00155d82e902</v>
      </c>
      <c r="AA538" s="33">
        <v>128</v>
      </c>
      <c r="AB538" s="5" t="s">
        <v>2259</v>
      </c>
      <c r="AC538" s="5" t="s">
        <v>86</v>
      </c>
      <c r="AD538" s="5"/>
      <c r="AE538" s="5" t="s">
        <v>49</v>
      </c>
      <c r="AF538" s="5"/>
      <c r="AG538" s="5"/>
      <c r="AH538" s="5" t="s">
        <v>2260</v>
      </c>
    </row>
    <row r="539" spans="2:34" ht="21" customHeight="1" outlineLevel="4" x14ac:dyDescent="0.2">
      <c r="B539" s="4">
        <v>395</v>
      </c>
      <c r="C539" s="5" t="s">
        <v>2266</v>
      </c>
      <c r="D539" s="5" t="s">
        <v>2267</v>
      </c>
      <c r="E539" s="6" t="s">
        <v>2268</v>
      </c>
      <c r="F539" s="10"/>
      <c r="G539" s="11" t="s">
        <v>2257</v>
      </c>
      <c r="H539" s="12">
        <v>10</v>
      </c>
      <c r="I539" s="13" t="s">
        <v>261</v>
      </c>
      <c r="J539" s="13"/>
      <c r="K539" s="13"/>
      <c r="L539" s="4">
        <v>3</v>
      </c>
      <c r="M539" s="14">
        <f>209*(1-P3/100)</f>
        <v>209</v>
      </c>
      <c r="N539" s="15"/>
      <c r="O539" s="13">
        <f>M539*N539</f>
        <v>0</v>
      </c>
      <c r="P539" s="22">
        <f>0.204*N539</f>
        <v>0</v>
      </c>
      <c r="Q539" s="23">
        <f>0.00029*N539</f>
        <v>0</v>
      </c>
      <c r="R539" s="24"/>
      <c r="S539" s="25" t="s">
        <v>2269</v>
      </c>
      <c r="T539" s="25" t="s">
        <v>94</v>
      </c>
      <c r="U539" s="5"/>
      <c r="V539" s="5" t="s">
        <v>2270</v>
      </c>
      <c r="W539" s="5" t="s">
        <v>46</v>
      </c>
      <c r="X539" s="5"/>
      <c r="Y539" s="5"/>
      <c r="Z539" s="5" t="str">
        <f>HYPERLINK("https://knigipp.ru/api/getInfo/image/549184e6-c716-11ed-a230-00155d82e902")</f>
        <v>https://knigipp.ru/api/getInfo/image/549184e6-c716-11ed-a230-00155d82e902</v>
      </c>
      <c r="AA539" s="33">
        <v>128</v>
      </c>
      <c r="AB539" s="5" t="s">
        <v>2259</v>
      </c>
      <c r="AC539" s="5" t="s">
        <v>86</v>
      </c>
      <c r="AD539" s="5"/>
      <c r="AE539" s="5" t="s">
        <v>49</v>
      </c>
      <c r="AF539" s="5"/>
      <c r="AG539" s="5"/>
      <c r="AH539" s="5" t="s">
        <v>2260</v>
      </c>
    </row>
    <row r="540" spans="2:34" ht="21" customHeight="1" outlineLevel="4" x14ac:dyDescent="0.2">
      <c r="B540" s="4">
        <v>396</v>
      </c>
      <c r="C540" s="5" t="s">
        <v>2271</v>
      </c>
      <c r="D540" s="5" t="s">
        <v>2272</v>
      </c>
      <c r="E540" s="6" t="s">
        <v>2273</v>
      </c>
      <c r="F540" s="10"/>
      <c r="G540" s="11" t="s">
        <v>2257</v>
      </c>
      <c r="H540" s="12">
        <v>10</v>
      </c>
      <c r="I540" s="13" t="s">
        <v>41</v>
      </c>
      <c r="J540" s="13"/>
      <c r="K540" s="13"/>
      <c r="L540" s="4">
        <v>3</v>
      </c>
      <c r="M540" s="14">
        <f>209*(1-P3/100)</f>
        <v>209</v>
      </c>
      <c r="N540" s="15"/>
      <c r="O540" s="13">
        <f>M540*N540</f>
        <v>0</v>
      </c>
      <c r="P540" s="22">
        <f>0.204*N540</f>
        <v>0</v>
      </c>
      <c r="Q540" s="23">
        <f>0.00035*N540</f>
        <v>0</v>
      </c>
      <c r="R540" s="24"/>
      <c r="S540" s="25" t="s">
        <v>2274</v>
      </c>
      <c r="T540" s="25" t="s">
        <v>94</v>
      </c>
      <c r="U540" s="5"/>
      <c r="V540" s="5" t="s">
        <v>2275</v>
      </c>
      <c r="W540" s="5" t="s">
        <v>46</v>
      </c>
      <c r="X540" s="5"/>
      <c r="Y540" s="5"/>
      <c r="Z540" s="5" t="str">
        <f>HYPERLINK("https://knigipp.ru/api/getInfo/image/2bc45569-c716-11ed-a230-00155d82e902")</f>
        <v>https://knigipp.ru/api/getInfo/image/2bc45569-c716-11ed-a230-00155d82e902</v>
      </c>
      <c r="AA540" s="33">
        <v>128</v>
      </c>
      <c r="AB540" s="5" t="s">
        <v>2259</v>
      </c>
      <c r="AC540" s="5" t="s">
        <v>86</v>
      </c>
      <c r="AD540" s="5"/>
      <c r="AE540" s="5" t="s">
        <v>49</v>
      </c>
      <c r="AF540" s="5"/>
      <c r="AG540" s="5"/>
      <c r="AH540" s="5" t="s">
        <v>2260</v>
      </c>
    </row>
    <row r="541" spans="2:34" ht="22.95" customHeight="1" outlineLevel="3" x14ac:dyDescent="0.2">
      <c r="B541" s="74" t="s">
        <v>2276</v>
      </c>
      <c r="C541" s="74"/>
      <c r="D541" s="74"/>
    </row>
    <row r="542" spans="2:34" ht="21" customHeight="1" outlineLevel="4" x14ac:dyDescent="0.2">
      <c r="B542" s="4">
        <v>397</v>
      </c>
      <c r="C542" s="5" t="s">
        <v>2277</v>
      </c>
      <c r="D542" s="5" t="s">
        <v>2278</v>
      </c>
      <c r="E542" s="6" t="s">
        <v>2279</v>
      </c>
      <c r="F542" s="10"/>
      <c r="G542" s="11" t="s">
        <v>2280</v>
      </c>
      <c r="H542" s="12">
        <v>20</v>
      </c>
      <c r="I542" s="13" t="s">
        <v>41</v>
      </c>
      <c r="J542" s="13"/>
      <c r="K542" s="13"/>
      <c r="L542" s="4">
        <v>3</v>
      </c>
      <c r="M542" s="14">
        <f>189*(1-P3/100)</f>
        <v>189</v>
      </c>
      <c r="N542" s="15"/>
      <c r="O542" s="13">
        <f>M542*N542</f>
        <v>0</v>
      </c>
      <c r="P542" s="22">
        <f>0.211*N542</f>
        <v>0</v>
      </c>
      <c r="Q542" s="23">
        <f>0.00036*N542</f>
        <v>0</v>
      </c>
      <c r="R542" s="24"/>
      <c r="S542" s="25" t="s">
        <v>2281</v>
      </c>
      <c r="T542" s="25" t="s">
        <v>94</v>
      </c>
      <c r="U542" s="5"/>
      <c r="V542" s="5"/>
      <c r="W542" s="5" t="s">
        <v>46</v>
      </c>
      <c r="X542" s="5"/>
      <c r="Y542" s="5"/>
      <c r="Z542" s="5" t="str">
        <f>HYPERLINK("https://knigipp.ru/api/getInfo/image/885a59fa-c32c-11ed-a230-00155d82e902")</f>
        <v>https://knigipp.ru/api/getInfo/image/885a59fa-c32c-11ed-a230-00155d82e902</v>
      </c>
      <c r="AA542" s="33">
        <v>96</v>
      </c>
      <c r="AB542" s="5"/>
      <c r="AC542" s="5" t="s">
        <v>86</v>
      </c>
      <c r="AD542" s="5"/>
      <c r="AE542" s="5" t="s">
        <v>49</v>
      </c>
      <c r="AF542" s="5"/>
      <c r="AG542" s="5"/>
      <c r="AH542" s="5" t="s">
        <v>2282</v>
      </c>
    </row>
    <row r="543" spans="2:34" ht="21" customHeight="1" outlineLevel="4" x14ac:dyDescent="0.2">
      <c r="B543" s="4">
        <v>398</v>
      </c>
      <c r="C543" s="5" t="s">
        <v>2283</v>
      </c>
      <c r="D543" s="5" t="s">
        <v>2284</v>
      </c>
      <c r="E543" s="6" t="s">
        <v>2285</v>
      </c>
      <c r="F543" s="10"/>
      <c r="G543" s="11" t="s">
        <v>2280</v>
      </c>
      <c r="H543" s="12">
        <v>20</v>
      </c>
      <c r="I543" s="13" t="s">
        <v>41</v>
      </c>
      <c r="J543" s="13"/>
      <c r="K543" s="13"/>
      <c r="L543" s="4">
        <v>3</v>
      </c>
      <c r="M543" s="14">
        <f>189*(1-P3/100)</f>
        <v>189</v>
      </c>
      <c r="N543" s="15"/>
      <c r="O543" s="13">
        <f>M543*N543</f>
        <v>0</v>
      </c>
      <c r="P543" s="22">
        <f>0.214*N543</f>
        <v>0</v>
      </c>
      <c r="Q543" s="23">
        <f>0.00031*N543</f>
        <v>0</v>
      </c>
      <c r="R543" s="24"/>
      <c r="S543" s="25" t="s">
        <v>2286</v>
      </c>
      <c r="T543" s="25" t="s">
        <v>94</v>
      </c>
      <c r="U543" s="5"/>
      <c r="V543" s="5"/>
      <c r="W543" s="5" t="s">
        <v>46</v>
      </c>
      <c r="X543" s="5"/>
      <c r="Y543" s="5"/>
      <c r="Z543" s="5" t="str">
        <f>HYPERLINK("https://knigipp.ru/api/getInfo/image/e4da95a1-c32c-11ed-a230-00155d82e902")</f>
        <v>https://knigipp.ru/api/getInfo/image/e4da95a1-c32c-11ed-a230-00155d82e902</v>
      </c>
      <c r="AA543" s="33">
        <v>96</v>
      </c>
      <c r="AB543" s="5"/>
      <c r="AC543" s="5" t="s">
        <v>86</v>
      </c>
      <c r="AD543" s="5"/>
      <c r="AE543" s="5" t="s">
        <v>49</v>
      </c>
      <c r="AF543" s="5"/>
      <c r="AG543" s="5"/>
      <c r="AH543" s="5" t="s">
        <v>2282</v>
      </c>
    </row>
    <row r="544" spans="2:34" ht="22.95" customHeight="1" outlineLevel="3" x14ac:dyDescent="0.2">
      <c r="B544" s="74" t="s">
        <v>2287</v>
      </c>
      <c r="C544" s="74"/>
      <c r="D544" s="74"/>
    </row>
    <row r="545" spans="2:34" ht="21" customHeight="1" outlineLevel="4" x14ac:dyDescent="0.2">
      <c r="B545" s="4">
        <v>399</v>
      </c>
      <c r="C545" s="5" t="s">
        <v>2288</v>
      </c>
      <c r="D545" s="5" t="s">
        <v>2289</v>
      </c>
      <c r="E545" s="6" t="s">
        <v>2290</v>
      </c>
      <c r="F545" s="10"/>
      <c r="G545" s="11" t="s">
        <v>2291</v>
      </c>
      <c r="H545" s="12">
        <v>10</v>
      </c>
      <c r="I545" s="13" t="s">
        <v>41</v>
      </c>
      <c r="J545" s="13"/>
      <c r="K545" s="13"/>
      <c r="L545" s="4">
        <v>2</v>
      </c>
      <c r="M545" s="14">
        <f>297*(1-P3/100)</f>
        <v>297</v>
      </c>
      <c r="N545" s="15"/>
      <c r="O545" s="13">
        <f>M545*N545</f>
        <v>0</v>
      </c>
      <c r="P545" s="13">
        <v>0</v>
      </c>
      <c r="Q545" s="13">
        <v>0</v>
      </c>
      <c r="R545" s="24"/>
      <c r="S545" s="25" t="s">
        <v>2292</v>
      </c>
      <c r="T545" s="25" t="s">
        <v>94</v>
      </c>
      <c r="U545" s="5"/>
      <c r="V545" s="5" t="s">
        <v>2293</v>
      </c>
      <c r="W545" s="5" t="s">
        <v>46</v>
      </c>
      <c r="X545" s="5"/>
      <c r="Y545" s="5"/>
      <c r="Z545" s="5" t="str">
        <f>HYPERLINK("https://knigipp.ru/api/getInfo/image/85f10701-edc6-11ee-a25b-00155d82e908")</f>
        <v>https://knigipp.ru/api/getInfo/image/85f10701-edc6-11ee-a25b-00155d82e908</v>
      </c>
      <c r="AA545" s="33">
        <v>128</v>
      </c>
      <c r="AB545" s="5"/>
      <c r="AC545" s="5" t="s">
        <v>86</v>
      </c>
      <c r="AD545" s="33">
        <v>100</v>
      </c>
      <c r="AE545" s="5" t="s">
        <v>49</v>
      </c>
      <c r="AF545" s="5"/>
      <c r="AG545" s="5"/>
      <c r="AH545" s="5" t="s">
        <v>2294</v>
      </c>
    </row>
    <row r="546" spans="2:34" ht="21" customHeight="1" outlineLevel="4" x14ac:dyDescent="0.2">
      <c r="B546" s="4">
        <v>400</v>
      </c>
      <c r="C546" s="5" t="s">
        <v>2295</v>
      </c>
      <c r="D546" s="5" t="s">
        <v>2296</v>
      </c>
      <c r="E546" s="6" t="s">
        <v>2297</v>
      </c>
      <c r="F546" s="10"/>
      <c r="G546" s="11" t="s">
        <v>2291</v>
      </c>
      <c r="H546" s="12">
        <v>10</v>
      </c>
      <c r="I546" s="13" t="s">
        <v>41</v>
      </c>
      <c r="J546" s="13"/>
      <c r="K546" s="13"/>
      <c r="L546" s="4">
        <v>2</v>
      </c>
      <c r="M546" s="14">
        <f>297*(1-P3/100)</f>
        <v>297</v>
      </c>
      <c r="N546" s="15"/>
      <c r="O546" s="13">
        <f>M546*N546</f>
        <v>0</v>
      </c>
      <c r="P546" s="13">
        <v>0</v>
      </c>
      <c r="Q546" s="13">
        <v>0</v>
      </c>
      <c r="R546" s="24"/>
      <c r="S546" s="25" t="s">
        <v>2298</v>
      </c>
      <c r="T546" s="25" t="s">
        <v>94</v>
      </c>
      <c r="U546" s="5"/>
      <c r="V546" s="5" t="s">
        <v>2299</v>
      </c>
      <c r="W546" s="5" t="s">
        <v>46</v>
      </c>
      <c r="X546" s="5"/>
      <c r="Y546" s="5"/>
      <c r="Z546" s="5" t="str">
        <f>HYPERLINK("https://knigipp.ru/api/getInfo/image/c9b44ce4-edc6-11ee-a25b-00155d82e908")</f>
        <v>https://knigipp.ru/api/getInfo/image/c9b44ce4-edc6-11ee-a25b-00155d82e908</v>
      </c>
      <c r="AA546" s="33">
        <v>128</v>
      </c>
      <c r="AB546" s="5"/>
      <c r="AC546" s="5" t="s">
        <v>86</v>
      </c>
      <c r="AD546" s="33">
        <v>100</v>
      </c>
      <c r="AE546" s="5" t="s">
        <v>49</v>
      </c>
      <c r="AF546" s="5"/>
      <c r="AG546" s="5"/>
      <c r="AH546" s="5" t="s">
        <v>2294</v>
      </c>
    </row>
    <row r="547" spans="2:34" ht="21" customHeight="1" outlineLevel="4" x14ac:dyDescent="0.2">
      <c r="B547" s="4">
        <v>401</v>
      </c>
      <c r="C547" s="5" t="s">
        <v>2300</v>
      </c>
      <c r="D547" s="5" t="s">
        <v>2301</v>
      </c>
      <c r="E547" s="6" t="s">
        <v>2302</v>
      </c>
      <c r="F547" s="10"/>
      <c r="G547" s="11" t="s">
        <v>2291</v>
      </c>
      <c r="H547" s="12">
        <v>10</v>
      </c>
      <c r="I547" s="13" t="s">
        <v>41</v>
      </c>
      <c r="J547" s="13"/>
      <c r="K547" s="13"/>
      <c r="L547" s="4">
        <v>2</v>
      </c>
      <c r="M547" s="14">
        <f>297*(1-P3/100)</f>
        <v>297</v>
      </c>
      <c r="N547" s="15"/>
      <c r="O547" s="13">
        <f>M547*N547</f>
        <v>0</v>
      </c>
      <c r="P547" s="13">
        <v>0</v>
      </c>
      <c r="Q547" s="13">
        <v>0</v>
      </c>
      <c r="R547" s="24"/>
      <c r="S547" s="25" t="s">
        <v>2303</v>
      </c>
      <c r="T547" s="25" t="s">
        <v>94</v>
      </c>
      <c r="U547" s="5"/>
      <c r="V547" s="5" t="s">
        <v>2304</v>
      </c>
      <c r="W547" s="5" t="s">
        <v>46</v>
      </c>
      <c r="X547" s="5"/>
      <c r="Y547" s="5"/>
      <c r="Z547" s="5" t="str">
        <f>HYPERLINK("https://knigipp.ru/api/getInfo/image/02a05a87-edc7-11ee-a25b-00155d82e908")</f>
        <v>https://knigipp.ru/api/getInfo/image/02a05a87-edc7-11ee-a25b-00155d82e908</v>
      </c>
      <c r="AA547" s="33">
        <v>128</v>
      </c>
      <c r="AB547" s="5"/>
      <c r="AC547" s="5" t="s">
        <v>86</v>
      </c>
      <c r="AD547" s="33">
        <v>100</v>
      </c>
      <c r="AE547" s="5" t="s">
        <v>49</v>
      </c>
      <c r="AF547" s="5"/>
      <c r="AG547" s="5"/>
      <c r="AH547" s="5" t="s">
        <v>2294</v>
      </c>
    </row>
    <row r="548" spans="2:34" ht="21" customHeight="1" outlineLevel="4" x14ac:dyDescent="0.2">
      <c r="B548" s="4">
        <v>402</v>
      </c>
      <c r="C548" s="5" t="s">
        <v>2305</v>
      </c>
      <c r="D548" s="5" t="s">
        <v>2306</v>
      </c>
      <c r="E548" s="6" t="s">
        <v>2307</v>
      </c>
      <c r="F548" s="10"/>
      <c r="G548" s="11" t="s">
        <v>2291</v>
      </c>
      <c r="H548" s="12">
        <v>10</v>
      </c>
      <c r="I548" s="13" t="s">
        <v>41</v>
      </c>
      <c r="J548" s="13"/>
      <c r="K548" s="13"/>
      <c r="L548" s="4">
        <v>2</v>
      </c>
      <c r="M548" s="14">
        <f>297*(1-P3/100)</f>
        <v>297</v>
      </c>
      <c r="N548" s="15"/>
      <c r="O548" s="13">
        <f>M548*N548</f>
        <v>0</v>
      </c>
      <c r="P548" s="13">
        <v>0</v>
      </c>
      <c r="Q548" s="13">
        <v>0</v>
      </c>
      <c r="R548" s="24"/>
      <c r="S548" s="25" t="s">
        <v>2308</v>
      </c>
      <c r="T548" s="25" t="s">
        <v>94</v>
      </c>
      <c r="U548" s="5"/>
      <c r="V548" s="5" t="s">
        <v>2309</v>
      </c>
      <c r="W548" s="5" t="s">
        <v>46</v>
      </c>
      <c r="X548" s="5"/>
      <c r="Y548" s="5"/>
      <c r="Z548" s="5" t="str">
        <f>HYPERLINK("https://knigipp.ru/api/getInfo/image/22ff1ced-edc6-11ee-a25b-00155d82e908")</f>
        <v>https://knigipp.ru/api/getInfo/image/22ff1ced-edc6-11ee-a25b-00155d82e908</v>
      </c>
      <c r="AA548" s="33">
        <v>128</v>
      </c>
      <c r="AB548" s="5"/>
      <c r="AC548" s="5" t="s">
        <v>86</v>
      </c>
      <c r="AD548" s="33">
        <v>100</v>
      </c>
      <c r="AE548" s="5" t="s">
        <v>49</v>
      </c>
      <c r="AF548" s="5"/>
      <c r="AG548" s="5"/>
      <c r="AH548" s="5" t="s">
        <v>2294</v>
      </c>
    </row>
    <row r="549" spans="2:34" ht="22.95" customHeight="1" outlineLevel="3" x14ac:dyDescent="0.2">
      <c r="B549" s="74" t="s">
        <v>2310</v>
      </c>
      <c r="C549" s="74"/>
      <c r="D549" s="74"/>
    </row>
    <row r="550" spans="2:34" ht="21" customHeight="1" outlineLevel="4" x14ac:dyDescent="0.2">
      <c r="B550" s="4">
        <v>403</v>
      </c>
      <c r="C550" s="5" t="s">
        <v>2311</v>
      </c>
      <c r="D550" s="5" t="s">
        <v>2312</v>
      </c>
      <c r="E550" s="6" t="s">
        <v>2313</v>
      </c>
      <c r="F550" s="10"/>
      <c r="G550" s="11" t="s">
        <v>2314</v>
      </c>
      <c r="H550" s="12">
        <v>30</v>
      </c>
      <c r="I550" s="13" t="s">
        <v>41</v>
      </c>
      <c r="J550" s="13"/>
      <c r="K550" s="13"/>
      <c r="L550" s="4">
        <v>7</v>
      </c>
      <c r="M550" s="14">
        <f>94.7*(1-P3/100)</f>
        <v>94.7</v>
      </c>
      <c r="N550" s="15"/>
      <c r="O550" s="13">
        <f>M550*N550</f>
        <v>0</v>
      </c>
      <c r="P550" s="32">
        <f>0.08*N550</f>
        <v>0</v>
      </c>
      <c r="Q550" s="23">
        <f>0.00011*N550</f>
        <v>0</v>
      </c>
      <c r="R550" s="24"/>
      <c r="S550" s="25" t="s">
        <v>2315</v>
      </c>
      <c r="T550" s="25" t="s">
        <v>94</v>
      </c>
      <c r="U550" s="5"/>
      <c r="V550" s="5" t="s">
        <v>2316</v>
      </c>
      <c r="W550" s="5" t="s">
        <v>46</v>
      </c>
      <c r="X550" s="5"/>
      <c r="Y550" s="5"/>
      <c r="Z550" s="5" t="str">
        <f>HYPERLINK("https://knigipp.ru/api/getInfo/image/f7095ca8-7e31-11ee-a248-00155d82e902")</f>
        <v>https://knigipp.ru/api/getInfo/image/f7095ca8-7e31-11ee-a248-00155d82e902</v>
      </c>
      <c r="AA550" s="33">
        <v>48</v>
      </c>
      <c r="AB550" s="5" t="s">
        <v>598</v>
      </c>
      <c r="AC550" s="5" t="s">
        <v>96</v>
      </c>
      <c r="AD550" s="5"/>
      <c r="AE550" s="5" t="s">
        <v>49</v>
      </c>
      <c r="AF550" s="5"/>
      <c r="AG550" s="5"/>
      <c r="AH550" s="5" t="s">
        <v>2317</v>
      </c>
    </row>
    <row r="551" spans="2:34" ht="21" customHeight="1" outlineLevel="4" x14ac:dyDescent="0.2">
      <c r="B551" s="4">
        <v>404</v>
      </c>
      <c r="C551" s="5" t="s">
        <v>2318</v>
      </c>
      <c r="D551" s="5" t="s">
        <v>2319</v>
      </c>
      <c r="E551" s="6" t="s">
        <v>2320</v>
      </c>
      <c r="F551" s="10"/>
      <c r="G551" s="11" t="s">
        <v>2314</v>
      </c>
      <c r="H551" s="12">
        <v>30</v>
      </c>
      <c r="I551" s="13" t="s">
        <v>41</v>
      </c>
      <c r="J551" s="13"/>
      <c r="K551" s="13"/>
      <c r="L551" s="4">
        <v>7</v>
      </c>
      <c r="M551" s="14">
        <f>94.7*(1-P3/100)</f>
        <v>94.7</v>
      </c>
      <c r="N551" s="15"/>
      <c r="O551" s="13">
        <f>M551*N551</f>
        <v>0</v>
      </c>
      <c r="P551" s="32">
        <f>0.08*N551</f>
        <v>0</v>
      </c>
      <c r="Q551" s="23">
        <f>0.00011*N551</f>
        <v>0</v>
      </c>
      <c r="R551" s="24"/>
      <c r="S551" s="25" t="s">
        <v>2321</v>
      </c>
      <c r="T551" s="25" t="s">
        <v>94</v>
      </c>
      <c r="U551" s="5"/>
      <c r="V551" s="5" t="s">
        <v>2322</v>
      </c>
      <c r="W551" s="5" t="s">
        <v>46</v>
      </c>
      <c r="X551" s="5"/>
      <c r="Y551" s="5"/>
      <c r="Z551" s="5" t="str">
        <f>HYPERLINK("https://knigipp.ru/api/getInfo/image/1ff33979-7e32-11ee-a248-00155d82e902")</f>
        <v>https://knigipp.ru/api/getInfo/image/1ff33979-7e32-11ee-a248-00155d82e902</v>
      </c>
      <c r="AA551" s="33">
        <v>48</v>
      </c>
      <c r="AB551" s="5" t="s">
        <v>598</v>
      </c>
      <c r="AC551" s="5" t="s">
        <v>96</v>
      </c>
      <c r="AD551" s="5"/>
      <c r="AE551" s="5" t="s">
        <v>49</v>
      </c>
      <c r="AF551" s="5"/>
      <c r="AG551" s="5"/>
      <c r="AH551" s="5" t="s">
        <v>2317</v>
      </c>
    </row>
    <row r="552" spans="2:34" ht="21" customHeight="1" outlineLevel="4" x14ac:dyDescent="0.2">
      <c r="B552" s="4">
        <v>405</v>
      </c>
      <c r="C552" s="5" t="s">
        <v>2323</v>
      </c>
      <c r="D552" s="5" t="s">
        <v>2324</v>
      </c>
      <c r="E552" s="6" t="s">
        <v>2325</v>
      </c>
      <c r="F552" s="10"/>
      <c r="G552" s="11" t="s">
        <v>2314</v>
      </c>
      <c r="H552" s="12">
        <v>30</v>
      </c>
      <c r="I552" s="13" t="s">
        <v>41</v>
      </c>
      <c r="J552" s="13"/>
      <c r="K552" s="13"/>
      <c r="L552" s="4">
        <v>7</v>
      </c>
      <c r="M552" s="14">
        <f>94.7*(1-P3/100)</f>
        <v>94.7</v>
      </c>
      <c r="N552" s="15"/>
      <c r="O552" s="13">
        <f>M552*N552</f>
        <v>0</v>
      </c>
      <c r="P552" s="32">
        <f>0.08*N552</f>
        <v>0</v>
      </c>
      <c r="Q552" s="23">
        <f>0.00011*N552</f>
        <v>0</v>
      </c>
      <c r="R552" s="24"/>
      <c r="S552" s="25" t="s">
        <v>2326</v>
      </c>
      <c r="T552" s="25" t="s">
        <v>94</v>
      </c>
      <c r="U552" s="5"/>
      <c r="V552" s="5" t="s">
        <v>2327</v>
      </c>
      <c r="W552" s="5" t="s">
        <v>46</v>
      </c>
      <c r="X552" s="5"/>
      <c r="Y552" s="5"/>
      <c r="Z552" s="5" t="str">
        <f>HYPERLINK("https://knigipp.ru/api/getInfo/image/93a76312-7e31-11ee-a248-00155d82e902")</f>
        <v>https://knigipp.ru/api/getInfo/image/93a76312-7e31-11ee-a248-00155d82e902</v>
      </c>
      <c r="AA552" s="33">
        <v>48</v>
      </c>
      <c r="AB552" s="5" t="s">
        <v>598</v>
      </c>
      <c r="AC552" s="5" t="s">
        <v>96</v>
      </c>
      <c r="AD552" s="5"/>
      <c r="AE552" s="5" t="s">
        <v>49</v>
      </c>
      <c r="AF552" s="5"/>
      <c r="AG552" s="5"/>
      <c r="AH552" s="5" t="s">
        <v>2317</v>
      </c>
    </row>
    <row r="553" spans="2:34" ht="21" customHeight="1" outlineLevel="4" x14ac:dyDescent="0.2">
      <c r="B553" s="4">
        <v>406</v>
      </c>
      <c r="C553" s="5" t="s">
        <v>2328</v>
      </c>
      <c r="D553" s="5" t="s">
        <v>2329</v>
      </c>
      <c r="E553" s="6" t="s">
        <v>2330</v>
      </c>
      <c r="F553" s="10"/>
      <c r="G553" s="11" t="s">
        <v>2314</v>
      </c>
      <c r="H553" s="12">
        <v>30</v>
      </c>
      <c r="I553" s="13" t="s">
        <v>41</v>
      </c>
      <c r="J553" s="13"/>
      <c r="K553" s="13"/>
      <c r="L553" s="4">
        <v>7</v>
      </c>
      <c r="M553" s="14">
        <f>94.7*(1-P3/100)</f>
        <v>94.7</v>
      </c>
      <c r="N553" s="15"/>
      <c r="O553" s="13">
        <f>M553*N553</f>
        <v>0</v>
      </c>
      <c r="P553" s="32">
        <f>0.08*N553</f>
        <v>0</v>
      </c>
      <c r="Q553" s="23">
        <f>0.00011*N553</f>
        <v>0</v>
      </c>
      <c r="R553" s="24"/>
      <c r="S553" s="25" t="s">
        <v>2331</v>
      </c>
      <c r="T553" s="25" t="s">
        <v>94</v>
      </c>
      <c r="U553" s="5"/>
      <c r="V553" s="5" t="s">
        <v>2332</v>
      </c>
      <c r="W553" s="5" t="s">
        <v>46</v>
      </c>
      <c r="X553" s="5"/>
      <c r="Y553" s="5"/>
      <c r="Z553" s="5" t="str">
        <f>HYPERLINK("https://knigipp.ru/api/getInfo/image/c95ac7a7-7e31-11ee-a248-00155d82e902")</f>
        <v>https://knigipp.ru/api/getInfo/image/c95ac7a7-7e31-11ee-a248-00155d82e902</v>
      </c>
      <c r="AA553" s="33">
        <v>48</v>
      </c>
      <c r="AB553" s="5" t="s">
        <v>598</v>
      </c>
      <c r="AC553" s="5" t="s">
        <v>96</v>
      </c>
      <c r="AD553" s="5"/>
      <c r="AE553" s="5" t="s">
        <v>49</v>
      </c>
      <c r="AF553" s="5"/>
      <c r="AG553" s="5"/>
      <c r="AH553" s="5" t="s">
        <v>2317</v>
      </c>
    </row>
    <row r="554" spans="2:34" ht="22.95" customHeight="1" outlineLevel="3" x14ac:dyDescent="0.2">
      <c r="B554" s="74" t="s">
        <v>2333</v>
      </c>
      <c r="C554" s="74"/>
      <c r="D554" s="74"/>
    </row>
    <row r="555" spans="2:34" ht="21" customHeight="1" outlineLevel="4" x14ac:dyDescent="0.2">
      <c r="B555" s="4">
        <v>407</v>
      </c>
      <c r="C555" s="5" t="s">
        <v>2334</v>
      </c>
      <c r="D555" s="5" t="s">
        <v>2335</v>
      </c>
      <c r="E555" s="6" t="s">
        <v>2336</v>
      </c>
      <c r="F555" s="10"/>
      <c r="G555" s="11" t="s">
        <v>2337</v>
      </c>
      <c r="H555" s="12">
        <v>10</v>
      </c>
      <c r="I555" s="13" t="s">
        <v>41</v>
      </c>
      <c r="J555" s="13"/>
      <c r="K555" s="13"/>
      <c r="L555" s="4">
        <v>2</v>
      </c>
      <c r="M555" s="14">
        <f>299*(1-P3/100)</f>
        <v>299</v>
      </c>
      <c r="N555" s="15"/>
      <c r="O555" s="13">
        <f t="shared" ref="O555:O560" si="16">M555*N555</f>
        <v>0</v>
      </c>
      <c r="P555" s="22">
        <f>0.529*N555</f>
        <v>0</v>
      </c>
      <c r="Q555" s="23">
        <f>0.00088*N555</f>
        <v>0</v>
      </c>
      <c r="R555" s="24"/>
      <c r="S555" s="25" t="s">
        <v>2338</v>
      </c>
      <c r="T555" s="25" t="s">
        <v>94</v>
      </c>
      <c r="U555" s="5"/>
      <c r="V555" s="5"/>
      <c r="W555" s="5" t="s">
        <v>46</v>
      </c>
      <c r="X555" s="5"/>
      <c r="Y555" s="5"/>
      <c r="Z555" s="5" t="str">
        <f>HYPERLINK("https://knigipp.ru/api/getInfo/image/acee0269-d86f-11ed-a232-00155d82e902")</f>
        <v>https://knigipp.ru/api/getInfo/image/acee0269-d86f-11ed-a232-00155d82e902</v>
      </c>
      <c r="AA555" s="33">
        <v>144</v>
      </c>
      <c r="AB555" s="5" t="s">
        <v>2259</v>
      </c>
      <c r="AC555" s="5" t="s">
        <v>86</v>
      </c>
      <c r="AD555" s="5"/>
      <c r="AE555" s="5" t="s">
        <v>49</v>
      </c>
      <c r="AF555" s="5"/>
      <c r="AG555" s="5"/>
      <c r="AH555" s="5" t="s">
        <v>2339</v>
      </c>
    </row>
    <row r="556" spans="2:34" ht="21" customHeight="1" outlineLevel="4" x14ac:dyDescent="0.2">
      <c r="B556" s="4">
        <v>408</v>
      </c>
      <c r="C556" s="5" t="s">
        <v>2340</v>
      </c>
      <c r="D556" s="5" t="s">
        <v>2341</v>
      </c>
      <c r="E556" s="6" t="s">
        <v>2342</v>
      </c>
      <c r="F556" s="10"/>
      <c r="G556" s="11" t="s">
        <v>2337</v>
      </c>
      <c r="H556" s="12">
        <v>10</v>
      </c>
      <c r="I556" s="13" t="s">
        <v>41</v>
      </c>
      <c r="J556" s="13"/>
      <c r="K556" s="13"/>
      <c r="L556" s="4">
        <v>2</v>
      </c>
      <c r="M556" s="14">
        <f>299*(1-P3/100)</f>
        <v>299</v>
      </c>
      <c r="N556" s="15"/>
      <c r="O556" s="13">
        <f t="shared" si="16"/>
        <v>0</v>
      </c>
      <c r="P556" s="13">
        <v>0</v>
      </c>
      <c r="Q556" s="13">
        <v>0</v>
      </c>
      <c r="R556" s="24"/>
      <c r="S556" s="25" t="s">
        <v>2343</v>
      </c>
      <c r="T556" s="25" t="s">
        <v>94</v>
      </c>
      <c r="U556" s="5"/>
      <c r="V556" s="5"/>
      <c r="W556" s="5" t="s">
        <v>46</v>
      </c>
      <c r="X556" s="5"/>
      <c r="Y556" s="5"/>
      <c r="Z556" s="5" t="str">
        <f>HYPERLINK("https://knigipp.ru/api/getInfo/image/d278b90d-d86f-11ed-a232-00155d82e902")</f>
        <v>https://knigipp.ru/api/getInfo/image/d278b90d-d86f-11ed-a232-00155d82e902</v>
      </c>
      <c r="AA556" s="33">
        <v>144</v>
      </c>
      <c r="AB556" s="5" t="s">
        <v>2259</v>
      </c>
      <c r="AC556" s="5" t="s">
        <v>86</v>
      </c>
      <c r="AD556" s="5"/>
      <c r="AE556" s="5" t="s">
        <v>49</v>
      </c>
      <c r="AF556" s="5"/>
      <c r="AG556" s="5"/>
      <c r="AH556" s="5" t="s">
        <v>2339</v>
      </c>
    </row>
    <row r="557" spans="2:34" ht="21" customHeight="1" outlineLevel="4" x14ac:dyDescent="0.2">
      <c r="B557" s="4">
        <v>409</v>
      </c>
      <c r="C557" s="5" t="s">
        <v>2344</v>
      </c>
      <c r="D557" s="5" t="s">
        <v>2345</v>
      </c>
      <c r="E557" s="6" t="s">
        <v>2346</v>
      </c>
      <c r="F557" s="10"/>
      <c r="G557" s="11" t="s">
        <v>2337</v>
      </c>
      <c r="H557" s="12">
        <v>10</v>
      </c>
      <c r="I557" s="13" t="s">
        <v>41</v>
      </c>
      <c r="J557" s="13"/>
      <c r="K557" s="13"/>
      <c r="L557" s="4">
        <v>2</v>
      </c>
      <c r="M557" s="14">
        <f>299*(1-P3/100)</f>
        <v>299</v>
      </c>
      <c r="N557" s="15"/>
      <c r="O557" s="13">
        <f t="shared" si="16"/>
        <v>0</v>
      </c>
      <c r="P557" s="22">
        <f>0.534*N557</f>
        <v>0</v>
      </c>
      <c r="Q557" s="23">
        <f>0.00089*N557</f>
        <v>0</v>
      </c>
      <c r="R557" s="24"/>
      <c r="S557" s="25" t="s">
        <v>2347</v>
      </c>
      <c r="T557" s="25" t="s">
        <v>94</v>
      </c>
      <c r="U557" s="5"/>
      <c r="V557" s="5" t="s">
        <v>2348</v>
      </c>
      <c r="W557" s="5" t="s">
        <v>46</v>
      </c>
      <c r="X557" s="5" t="s">
        <v>2349</v>
      </c>
      <c r="Y557" s="5"/>
      <c r="Z557" s="5" t="str">
        <f>HYPERLINK("https://knigipp.ru/api/getInfo/image/1107ffa4-6dbb-11ee-a247-00155d82e902")</f>
        <v>https://knigipp.ru/api/getInfo/image/1107ffa4-6dbb-11ee-a247-00155d82e902</v>
      </c>
      <c r="AA557" s="33">
        <v>144</v>
      </c>
      <c r="AB557" s="5" t="s">
        <v>2259</v>
      </c>
      <c r="AC557" s="5" t="s">
        <v>86</v>
      </c>
      <c r="AD557" s="5"/>
      <c r="AE557" s="5" t="s">
        <v>49</v>
      </c>
      <c r="AF557" s="5"/>
      <c r="AG557" s="5"/>
      <c r="AH557" s="5" t="s">
        <v>2339</v>
      </c>
    </row>
    <row r="558" spans="2:34" ht="21" customHeight="1" outlineLevel="4" x14ac:dyDescent="0.2">
      <c r="B558" s="4">
        <v>410</v>
      </c>
      <c r="C558" s="5" t="s">
        <v>2350</v>
      </c>
      <c r="D558" s="5" t="s">
        <v>2351</v>
      </c>
      <c r="E558" s="6" t="s">
        <v>2352</v>
      </c>
      <c r="F558" s="10"/>
      <c r="G558" s="11" t="s">
        <v>2337</v>
      </c>
      <c r="H558" s="12">
        <v>10</v>
      </c>
      <c r="I558" s="13" t="s">
        <v>41</v>
      </c>
      <c r="J558" s="13"/>
      <c r="K558" s="13"/>
      <c r="L558" s="4">
        <v>2</v>
      </c>
      <c r="M558" s="14">
        <f>299*(1-P3/100)</f>
        <v>299</v>
      </c>
      <c r="N558" s="15"/>
      <c r="O558" s="13">
        <f t="shared" si="16"/>
        <v>0</v>
      </c>
      <c r="P558" s="32">
        <f>0.49*N558</f>
        <v>0</v>
      </c>
      <c r="Q558" s="23">
        <f>0.00076*N558</f>
        <v>0</v>
      </c>
      <c r="R558" s="24"/>
      <c r="S558" s="25" t="s">
        <v>2353</v>
      </c>
      <c r="T558" s="25" t="s">
        <v>94</v>
      </c>
      <c r="U558" s="5"/>
      <c r="V558" s="5"/>
      <c r="W558" s="5" t="s">
        <v>46</v>
      </c>
      <c r="X558" s="5"/>
      <c r="Y558" s="5"/>
      <c r="Z558" s="5" t="str">
        <f>HYPERLINK("https://knigipp.ru/api/getInfo/image/538f36fd-d86f-11ed-a232-00155d82e902")</f>
        <v>https://knigipp.ru/api/getInfo/image/538f36fd-d86f-11ed-a232-00155d82e902</v>
      </c>
      <c r="AA558" s="33">
        <v>144</v>
      </c>
      <c r="AB558" s="5" t="s">
        <v>2259</v>
      </c>
      <c r="AC558" s="5" t="s">
        <v>86</v>
      </c>
      <c r="AD558" s="5"/>
      <c r="AE558" s="5" t="s">
        <v>49</v>
      </c>
      <c r="AF558" s="5"/>
      <c r="AG558" s="5"/>
      <c r="AH558" s="5" t="s">
        <v>2339</v>
      </c>
    </row>
    <row r="559" spans="2:34" ht="21" customHeight="1" outlineLevel="4" x14ac:dyDescent="0.2">
      <c r="B559" s="4">
        <v>411</v>
      </c>
      <c r="C559" s="5" t="s">
        <v>2354</v>
      </c>
      <c r="D559" s="5" t="s">
        <v>2355</v>
      </c>
      <c r="E559" s="6" t="s">
        <v>2356</v>
      </c>
      <c r="F559" s="10"/>
      <c r="G559" s="11" t="s">
        <v>2337</v>
      </c>
      <c r="H559" s="12">
        <v>10</v>
      </c>
      <c r="I559" s="13" t="s">
        <v>41</v>
      </c>
      <c r="J559" s="13"/>
      <c r="K559" s="13"/>
      <c r="L559" s="4">
        <v>2</v>
      </c>
      <c r="M559" s="14">
        <f>299*(1-P3/100)</f>
        <v>299</v>
      </c>
      <c r="N559" s="15"/>
      <c r="O559" s="13">
        <f t="shared" si="16"/>
        <v>0</v>
      </c>
      <c r="P559" s="22">
        <f>0.529*N559</f>
        <v>0</v>
      </c>
      <c r="Q559" s="23">
        <f>0.00088*N559</f>
        <v>0</v>
      </c>
      <c r="R559" s="24"/>
      <c r="S559" s="25" t="s">
        <v>2357</v>
      </c>
      <c r="T559" s="25" t="s">
        <v>94</v>
      </c>
      <c r="U559" s="5"/>
      <c r="V559" s="5" t="s">
        <v>2358</v>
      </c>
      <c r="W559" s="5" t="s">
        <v>46</v>
      </c>
      <c r="X559" s="5" t="s">
        <v>2349</v>
      </c>
      <c r="Y559" s="5"/>
      <c r="Z559" s="5" t="str">
        <f>HYPERLINK("https://knigipp.ru/api/getInfo/image/ec2206fa-6dba-11ee-a247-00155d82e902")</f>
        <v>https://knigipp.ru/api/getInfo/image/ec2206fa-6dba-11ee-a247-00155d82e902</v>
      </c>
      <c r="AA559" s="33">
        <v>144</v>
      </c>
      <c r="AB559" s="5" t="s">
        <v>2259</v>
      </c>
      <c r="AC559" s="5" t="s">
        <v>86</v>
      </c>
      <c r="AD559" s="5"/>
      <c r="AE559" s="5" t="s">
        <v>49</v>
      </c>
      <c r="AF559" s="5"/>
      <c r="AG559" s="5"/>
      <c r="AH559" s="5" t="s">
        <v>2339</v>
      </c>
    </row>
    <row r="560" spans="2:34" ht="21" customHeight="1" outlineLevel="4" x14ac:dyDescent="0.2">
      <c r="B560" s="4">
        <v>412</v>
      </c>
      <c r="C560" s="5" t="s">
        <v>2359</v>
      </c>
      <c r="D560" s="5" t="s">
        <v>2360</v>
      </c>
      <c r="E560" s="6" t="s">
        <v>2361</v>
      </c>
      <c r="F560" s="10"/>
      <c r="G560" s="11" t="s">
        <v>2337</v>
      </c>
      <c r="H560" s="12">
        <v>10</v>
      </c>
      <c r="I560" s="13" t="s">
        <v>41</v>
      </c>
      <c r="J560" s="13"/>
      <c r="K560" s="13"/>
      <c r="L560" s="4">
        <v>2</v>
      </c>
      <c r="M560" s="14">
        <f>299*(1-P3/100)</f>
        <v>299</v>
      </c>
      <c r="N560" s="15"/>
      <c r="O560" s="13">
        <f t="shared" si="16"/>
        <v>0</v>
      </c>
      <c r="P560" s="22">
        <f>0.489*N560</f>
        <v>0</v>
      </c>
      <c r="Q560" s="23">
        <f>0.00082*N560</f>
        <v>0</v>
      </c>
      <c r="R560" s="24"/>
      <c r="S560" s="25" t="s">
        <v>2362</v>
      </c>
      <c r="T560" s="25" t="s">
        <v>94</v>
      </c>
      <c r="U560" s="5"/>
      <c r="V560" s="5"/>
      <c r="W560" s="5" t="s">
        <v>46</v>
      </c>
      <c r="X560" s="5"/>
      <c r="Y560" s="5"/>
      <c r="Z560" s="5" t="str">
        <f>HYPERLINK("https://knigipp.ru/api/getInfo/image/8ab6742e-d86f-11ed-a232-00155d82e902")</f>
        <v>https://knigipp.ru/api/getInfo/image/8ab6742e-d86f-11ed-a232-00155d82e902</v>
      </c>
      <c r="AA560" s="33">
        <v>144</v>
      </c>
      <c r="AB560" s="5" t="s">
        <v>2259</v>
      </c>
      <c r="AC560" s="5" t="s">
        <v>86</v>
      </c>
      <c r="AD560" s="5"/>
      <c r="AE560" s="5" t="s">
        <v>49</v>
      </c>
      <c r="AF560" s="5"/>
      <c r="AG560" s="5"/>
      <c r="AH560" s="5" t="s">
        <v>2339</v>
      </c>
    </row>
    <row r="561" spans="2:34" ht="22.95" customHeight="1" outlineLevel="3" x14ac:dyDescent="0.2">
      <c r="B561" s="74" t="s">
        <v>2363</v>
      </c>
      <c r="C561" s="74"/>
      <c r="D561" s="74"/>
    </row>
    <row r="562" spans="2:34" ht="21" customHeight="1" outlineLevel="4" x14ac:dyDescent="0.2">
      <c r="B562" s="4">
        <v>413</v>
      </c>
      <c r="C562" s="5" t="s">
        <v>2364</v>
      </c>
      <c r="D562" s="5" t="s">
        <v>2365</v>
      </c>
      <c r="E562" s="6" t="s">
        <v>2366</v>
      </c>
      <c r="F562" s="10"/>
      <c r="G562" s="11" t="s">
        <v>2367</v>
      </c>
      <c r="H562" s="12">
        <v>20</v>
      </c>
      <c r="I562" s="13" t="s">
        <v>41</v>
      </c>
      <c r="J562" s="13"/>
      <c r="K562" s="13"/>
      <c r="L562" s="4">
        <v>6</v>
      </c>
      <c r="M562" s="14">
        <f>107*(1-P3/100)</f>
        <v>107</v>
      </c>
      <c r="N562" s="15"/>
      <c r="O562" s="13">
        <f>M562*N562</f>
        <v>0</v>
      </c>
      <c r="P562" s="13">
        <v>0</v>
      </c>
      <c r="Q562" s="13">
        <v>0</v>
      </c>
      <c r="R562" s="24"/>
      <c r="S562" s="25" t="s">
        <v>2368</v>
      </c>
      <c r="T562" s="25" t="s">
        <v>94</v>
      </c>
      <c r="U562" s="5"/>
      <c r="V562" s="5"/>
      <c r="W562" s="5" t="s">
        <v>46</v>
      </c>
      <c r="X562" s="5" t="s">
        <v>1358</v>
      </c>
      <c r="Y562" s="5"/>
      <c r="Z562" s="5" t="str">
        <f>HYPERLINK("https://knigipp.ru/api/getInfo/image/53784ac9-9825-11ee-a250-00155d82e908")</f>
        <v>https://knigipp.ru/api/getInfo/image/53784ac9-9825-11ee-a250-00155d82e908</v>
      </c>
      <c r="AA562" s="33">
        <v>128</v>
      </c>
      <c r="AB562" s="5" t="s">
        <v>598</v>
      </c>
      <c r="AC562" s="5" t="s">
        <v>219</v>
      </c>
      <c r="AD562" s="5"/>
      <c r="AE562" s="5" t="s">
        <v>49</v>
      </c>
      <c r="AF562" s="5"/>
      <c r="AG562" s="5"/>
      <c r="AH562" s="5" t="s">
        <v>2369</v>
      </c>
    </row>
    <row r="563" spans="2:34" ht="21" customHeight="1" outlineLevel="4" x14ac:dyDescent="0.2">
      <c r="B563" s="4">
        <v>414</v>
      </c>
      <c r="C563" s="5" t="s">
        <v>2370</v>
      </c>
      <c r="D563" s="5" t="s">
        <v>2371</v>
      </c>
      <c r="E563" s="6" t="s">
        <v>2372</v>
      </c>
      <c r="F563" s="10"/>
      <c r="G563" s="11" t="s">
        <v>2367</v>
      </c>
      <c r="H563" s="12">
        <v>20</v>
      </c>
      <c r="I563" s="13" t="s">
        <v>41</v>
      </c>
      <c r="J563" s="13"/>
      <c r="K563" s="13"/>
      <c r="L563" s="4">
        <v>6</v>
      </c>
      <c r="M563" s="14">
        <f>107*(1-P3/100)</f>
        <v>107</v>
      </c>
      <c r="N563" s="15"/>
      <c r="O563" s="13">
        <f>M563*N563</f>
        <v>0</v>
      </c>
      <c r="P563" s="13">
        <v>0</v>
      </c>
      <c r="Q563" s="13">
        <v>0</v>
      </c>
      <c r="R563" s="24"/>
      <c r="S563" s="25" t="s">
        <v>2373</v>
      </c>
      <c r="T563" s="25" t="s">
        <v>94</v>
      </c>
      <c r="U563" s="5"/>
      <c r="V563" s="5"/>
      <c r="W563" s="5" t="s">
        <v>46</v>
      </c>
      <c r="X563" s="5" t="s">
        <v>1358</v>
      </c>
      <c r="Y563" s="5"/>
      <c r="Z563" s="5" t="str">
        <f>HYPERLINK("https://knigipp.ru/api/getInfo/image/2468d88b-9825-11ee-a250-00155d82e908")</f>
        <v>https://knigipp.ru/api/getInfo/image/2468d88b-9825-11ee-a250-00155d82e908</v>
      </c>
      <c r="AA563" s="33">
        <v>128</v>
      </c>
      <c r="AB563" s="5" t="s">
        <v>598</v>
      </c>
      <c r="AC563" s="5" t="s">
        <v>219</v>
      </c>
      <c r="AD563" s="5"/>
      <c r="AE563" s="5" t="s">
        <v>49</v>
      </c>
      <c r="AF563" s="5"/>
      <c r="AG563" s="5"/>
      <c r="AH563" s="5" t="s">
        <v>2369</v>
      </c>
    </row>
    <row r="564" spans="2:34" ht="21" customHeight="1" outlineLevel="4" x14ac:dyDescent="0.2">
      <c r="B564" s="4">
        <v>415</v>
      </c>
      <c r="C564" s="5" t="s">
        <v>2374</v>
      </c>
      <c r="D564" s="5" t="s">
        <v>2375</v>
      </c>
      <c r="E564" s="6" t="s">
        <v>2376</v>
      </c>
      <c r="F564" s="10"/>
      <c r="G564" s="11" t="s">
        <v>2367</v>
      </c>
      <c r="H564" s="12">
        <v>20</v>
      </c>
      <c r="I564" s="13" t="s">
        <v>41</v>
      </c>
      <c r="J564" s="13"/>
      <c r="K564" s="13"/>
      <c r="L564" s="4">
        <v>6</v>
      </c>
      <c r="M564" s="14">
        <f>107*(1-P3/100)</f>
        <v>107</v>
      </c>
      <c r="N564" s="15"/>
      <c r="O564" s="13">
        <f>M564*N564</f>
        <v>0</v>
      </c>
      <c r="P564" s="13">
        <v>0</v>
      </c>
      <c r="Q564" s="13">
        <v>0</v>
      </c>
      <c r="R564" s="24"/>
      <c r="S564" s="25" t="s">
        <v>2377</v>
      </c>
      <c r="T564" s="25" t="s">
        <v>94</v>
      </c>
      <c r="U564" s="5"/>
      <c r="V564" s="5"/>
      <c r="W564" s="5" t="s">
        <v>46</v>
      </c>
      <c r="X564" s="5" t="s">
        <v>1358</v>
      </c>
      <c r="Y564" s="5"/>
      <c r="Z564" s="5" t="str">
        <f>HYPERLINK("https://knigipp.ru/api/getInfo/image/f1641b96-9824-11ee-a250-00155d82e908")</f>
        <v>https://knigipp.ru/api/getInfo/image/f1641b96-9824-11ee-a250-00155d82e908</v>
      </c>
      <c r="AA564" s="33">
        <v>128</v>
      </c>
      <c r="AB564" s="5" t="s">
        <v>598</v>
      </c>
      <c r="AC564" s="5" t="s">
        <v>219</v>
      </c>
      <c r="AD564" s="5"/>
      <c r="AE564" s="5" t="s">
        <v>49</v>
      </c>
      <c r="AF564" s="5"/>
      <c r="AG564" s="5"/>
      <c r="AH564" s="5" t="s">
        <v>2369</v>
      </c>
    </row>
    <row r="565" spans="2:34" ht="21" customHeight="1" outlineLevel="4" x14ac:dyDescent="0.2">
      <c r="B565" s="4">
        <v>416</v>
      </c>
      <c r="C565" s="5" t="s">
        <v>2378</v>
      </c>
      <c r="D565" s="5" t="s">
        <v>2379</v>
      </c>
      <c r="E565" s="6" t="s">
        <v>2380</v>
      </c>
      <c r="F565" s="10"/>
      <c r="G565" s="11" t="s">
        <v>2367</v>
      </c>
      <c r="H565" s="12">
        <v>20</v>
      </c>
      <c r="I565" s="13" t="s">
        <v>261</v>
      </c>
      <c r="J565" s="13"/>
      <c r="K565" s="13"/>
      <c r="L565" s="4">
        <v>6</v>
      </c>
      <c r="M565" s="14">
        <f>107*(1-P3/100)</f>
        <v>107</v>
      </c>
      <c r="N565" s="15"/>
      <c r="O565" s="13">
        <f>M565*N565</f>
        <v>0</v>
      </c>
      <c r="P565" s="13">
        <v>0</v>
      </c>
      <c r="Q565" s="13">
        <v>0</v>
      </c>
      <c r="R565" s="24"/>
      <c r="S565" s="25" t="s">
        <v>2381</v>
      </c>
      <c r="T565" s="25" t="s">
        <v>94</v>
      </c>
      <c r="U565" s="5"/>
      <c r="V565" s="5"/>
      <c r="W565" s="5" t="s">
        <v>46</v>
      </c>
      <c r="X565" s="5" t="s">
        <v>1358</v>
      </c>
      <c r="Y565" s="5"/>
      <c r="Z565" s="5" t="str">
        <f>HYPERLINK("https://knigipp.ru/api/getInfo/image/a1ab3743-9824-11ee-a250-00155d82e908")</f>
        <v>https://knigipp.ru/api/getInfo/image/a1ab3743-9824-11ee-a250-00155d82e908</v>
      </c>
      <c r="AA565" s="33">
        <v>128</v>
      </c>
      <c r="AB565" s="5" t="s">
        <v>598</v>
      </c>
      <c r="AC565" s="5" t="s">
        <v>219</v>
      </c>
      <c r="AD565" s="5"/>
      <c r="AE565" s="5" t="s">
        <v>49</v>
      </c>
      <c r="AF565" s="5"/>
      <c r="AG565" s="5"/>
      <c r="AH565" s="5" t="s">
        <v>2369</v>
      </c>
    </row>
    <row r="566" spans="2:34" ht="22.95" customHeight="1" outlineLevel="3" x14ac:dyDescent="0.2">
      <c r="B566" s="74" t="s">
        <v>2382</v>
      </c>
      <c r="C566" s="74"/>
      <c r="D566" s="74"/>
    </row>
    <row r="567" spans="2:34" ht="21" customHeight="1" outlineLevel="4" x14ac:dyDescent="0.2">
      <c r="B567" s="4">
        <v>417</v>
      </c>
      <c r="C567" s="5" t="s">
        <v>2383</v>
      </c>
      <c r="D567" s="5" t="s">
        <v>2384</v>
      </c>
      <c r="E567" s="6" t="s">
        <v>2385</v>
      </c>
      <c r="F567" s="10"/>
      <c r="G567" s="11" t="s">
        <v>2386</v>
      </c>
      <c r="H567" s="12">
        <v>24</v>
      </c>
      <c r="I567" s="13" t="s">
        <v>371</v>
      </c>
      <c r="J567" s="13"/>
      <c r="K567" s="13"/>
      <c r="L567" s="4">
        <v>2</v>
      </c>
      <c r="M567" s="14">
        <f>329*(1-P3/100)</f>
        <v>329</v>
      </c>
      <c r="N567" s="15"/>
      <c r="O567" s="13">
        <f>M567*N567</f>
        <v>0</v>
      </c>
      <c r="P567" s="22">
        <f>0.268*N567</f>
        <v>0</v>
      </c>
      <c r="Q567" s="23">
        <f>0.00043*N567</f>
        <v>0</v>
      </c>
      <c r="R567" s="24"/>
      <c r="S567" s="25" t="s">
        <v>2387</v>
      </c>
      <c r="T567" s="25" t="s">
        <v>94</v>
      </c>
      <c r="U567" s="5"/>
      <c r="V567" s="5" t="s">
        <v>2388</v>
      </c>
      <c r="W567" s="5" t="s">
        <v>46</v>
      </c>
      <c r="X567" s="5"/>
      <c r="Y567" s="5"/>
      <c r="Z567" s="5" t="str">
        <f>HYPERLINK("https://knigipp.ru/api/getInfo/image/518c2afb-1f1d-11ee-a23c-00155d82e902")</f>
        <v>https://knigipp.ru/api/getInfo/image/518c2afb-1f1d-11ee-a23c-00155d82e902</v>
      </c>
      <c r="AA567" s="33">
        <v>128</v>
      </c>
      <c r="AB567" s="5" t="s">
        <v>761</v>
      </c>
      <c r="AC567" s="5" t="s">
        <v>86</v>
      </c>
      <c r="AD567" s="5"/>
      <c r="AE567" s="5" t="s">
        <v>49</v>
      </c>
      <c r="AF567" s="5"/>
      <c r="AG567" s="5"/>
      <c r="AH567" s="5" t="s">
        <v>2282</v>
      </c>
    </row>
    <row r="568" spans="2:34" ht="21" customHeight="1" outlineLevel="4" x14ac:dyDescent="0.2">
      <c r="B568" s="4">
        <v>418</v>
      </c>
      <c r="C568" s="5" t="s">
        <v>2389</v>
      </c>
      <c r="D568" s="5" t="s">
        <v>2390</v>
      </c>
      <c r="E568" s="6" t="s">
        <v>2391</v>
      </c>
      <c r="F568" s="10"/>
      <c r="G568" s="11" t="s">
        <v>2386</v>
      </c>
      <c r="H568" s="12">
        <v>24</v>
      </c>
      <c r="I568" s="13" t="s">
        <v>371</v>
      </c>
      <c r="J568" s="13"/>
      <c r="K568" s="13"/>
      <c r="L568" s="4">
        <v>2</v>
      </c>
      <c r="M568" s="14">
        <f>329*(1-P3/100)</f>
        <v>329</v>
      </c>
      <c r="N568" s="15"/>
      <c r="O568" s="13">
        <f>M568*N568</f>
        <v>0</v>
      </c>
      <c r="P568" s="22">
        <f>0.269*N568</f>
        <v>0</v>
      </c>
      <c r="Q568" s="23">
        <f>0.00047*N568</f>
        <v>0</v>
      </c>
      <c r="R568" s="24"/>
      <c r="S568" s="25" t="s">
        <v>2392</v>
      </c>
      <c r="T568" s="25" t="s">
        <v>94</v>
      </c>
      <c r="U568" s="5"/>
      <c r="V568" s="5" t="s">
        <v>2393</v>
      </c>
      <c r="W568" s="5" t="s">
        <v>46</v>
      </c>
      <c r="X568" s="5" t="s">
        <v>2394</v>
      </c>
      <c r="Y568" s="5"/>
      <c r="Z568" s="5" t="str">
        <f>HYPERLINK("https://knigipp.ru/api/getInfo/image/017fb244-1f1d-11ee-a23c-00155d82e902")</f>
        <v>https://knigipp.ru/api/getInfo/image/017fb244-1f1d-11ee-a23c-00155d82e902</v>
      </c>
      <c r="AA568" s="33">
        <v>128</v>
      </c>
      <c r="AB568" s="5" t="s">
        <v>761</v>
      </c>
      <c r="AC568" s="5" t="s">
        <v>86</v>
      </c>
      <c r="AD568" s="5"/>
      <c r="AE568" s="5" t="s">
        <v>49</v>
      </c>
      <c r="AF568" s="5"/>
      <c r="AG568" s="5"/>
      <c r="AH568" s="5" t="s">
        <v>2282</v>
      </c>
    </row>
    <row r="569" spans="2:34" ht="21" customHeight="1" outlineLevel="4" x14ac:dyDescent="0.2">
      <c r="B569" s="4">
        <v>419</v>
      </c>
      <c r="C569" s="5" t="s">
        <v>2395</v>
      </c>
      <c r="D569" s="5" t="s">
        <v>2396</v>
      </c>
      <c r="E569" s="6" t="s">
        <v>2397</v>
      </c>
      <c r="F569" s="10"/>
      <c r="G569" s="11" t="s">
        <v>2386</v>
      </c>
      <c r="H569" s="12">
        <v>24</v>
      </c>
      <c r="I569" s="13" t="s">
        <v>41</v>
      </c>
      <c r="J569" s="13"/>
      <c r="K569" s="13"/>
      <c r="L569" s="4">
        <v>2</v>
      </c>
      <c r="M569" s="14">
        <f>329*(1-P3/100)</f>
        <v>329</v>
      </c>
      <c r="N569" s="15"/>
      <c r="O569" s="13">
        <f>M569*N569</f>
        <v>0</v>
      </c>
      <c r="P569" s="22">
        <f>0.264*N569</f>
        <v>0</v>
      </c>
      <c r="Q569" s="30">
        <f>0.0005*N569</f>
        <v>0</v>
      </c>
      <c r="R569" s="24"/>
      <c r="S569" s="25" t="s">
        <v>2398</v>
      </c>
      <c r="T569" s="25" t="s">
        <v>94</v>
      </c>
      <c r="U569" s="5"/>
      <c r="V569" s="5" t="s">
        <v>2399</v>
      </c>
      <c r="W569" s="5" t="s">
        <v>46</v>
      </c>
      <c r="X569" s="5" t="s">
        <v>2394</v>
      </c>
      <c r="Y569" s="5"/>
      <c r="Z569" s="5" t="str">
        <f>HYPERLINK("https://knigipp.ru/api/getInfo/image/2f05d1f4-1f1d-11ee-a23c-00155d82e902")</f>
        <v>https://knigipp.ru/api/getInfo/image/2f05d1f4-1f1d-11ee-a23c-00155d82e902</v>
      </c>
      <c r="AA569" s="33">
        <v>128</v>
      </c>
      <c r="AB569" s="5" t="s">
        <v>761</v>
      </c>
      <c r="AC569" s="5" t="s">
        <v>86</v>
      </c>
      <c r="AD569" s="5"/>
      <c r="AE569" s="5" t="s">
        <v>49</v>
      </c>
      <c r="AF569" s="5"/>
      <c r="AG569" s="5"/>
      <c r="AH569" s="5" t="s">
        <v>2282</v>
      </c>
    </row>
    <row r="570" spans="2:34" ht="22.95" customHeight="1" outlineLevel="3" x14ac:dyDescent="0.2">
      <c r="B570" s="74" t="s">
        <v>2400</v>
      </c>
      <c r="C570" s="74"/>
      <c r="D570" s="74"/>
    </row>
    <row r="571" spans="2:34" ht="21" customHeight="1" outlineLevel="4" x14ac:dyDescent="0.2">
      <c r="B571" s="4">
        <v>420</v>
      </c>
      <c r="C571" s="5" t="s">
        <v>2401</v>
      </c>
      <c r="D571" s="5" t="s">
        <v>2402</v>
      </c>
      <c r="E571" s="6" t="s">
        <v>2403</v>
      </c>
      <c r="F571" s="10"/>
      <c r="G571" s="11" t="s">
        <v>2404</v>
      </c>
      <c r="H571" s="12">
        <v>20</v>
      </c>
      <c r="I571" s="13" t="s">
        <v>371</v>
      </c>
      <c r="J571" s="13"/>
      <c r="K571" s="13"/>
      <c r="L571" s="4">
        <v>2</v>
      </c>
      <c r="M571" s="14">
        <f>299*(1-P3/100)</f>
        <v>299</v>
      </c>
      <c r="N571" s="15"/>
      <c r="O571" s="13">
        <f>M571*N571</f>
        <v>0</v>
      </c>
      <c r="P571" s="22">
        <f>0.252*N571</f>
        <v>0</v>
      </c>
      <c r="Q571" s="23">
        <f>0.00046*N571</f>
        <v>0</v>
      </c>
      <c r="R571" s="24"/>
      <c r="S571" s="25" t="s">
        <v>2405</v>
      </c>
      <c r="T571" s="25" t="s">
        <v>94</v>
      </c>
      <c r="U571" s="5"/>
      <c r="V571" s="5" t="s">
        <v>2406</v>
      </c>
      <c r="W571" s="5" t="s">
        <v>46</v>
      </c>
      <c r="X571" s="5"/>
      <c r="Y571" s="5"/>
      <c r="Z571" s="5" t="str">
        <f>HYPERLINK("https://knigipp.ru/api/getInfo/image/a8f532f5-9f34-11ee-a257-00155d82e908")</f>
        <v>https://knigipp.ru/api/getInfo/image/a8f532f5-9f34-11ee-a257-00155d82e908</v>
      </c>
      <c r="AA571" s="33">
        <v>128</v>
      </c>
      <c r="AB571" s="5" t="s">
        <v>2407</v>
      </c>
      <c r="AC571" s="5" t="s">
        <v>86</v>
      </c>
      <c r="AD571" s="5"/>
      <c r="AE571" s="5" t="s">
        <v>49</v>
      </c>
      <c r="AF571" s="5"/>
      <c r="AG571" s="5"/>
      <c r="AH571" s="5" t="s">
        <v>2408</v>
      </c>
    </row>
    <row r="572" spans="2:34" ht="22.95" customHeight="1" outlineLevel="3" x14ac:dyDescent="0.2">
      <c r="B572" s="74" t="s">
        <v>2409</v>
      </c>
      <c r="C572" s="74"/>
      <c r="D572" s="74"/>
    </row>
    <row r="573" spans="2:34" ht="21" customHeight="1" outlineLevel="4" x14ac:dyDescent="0.2">
      <c r="B573" s="4">
        <v>421</v>
      </c>
      <c r="C573" s="5" t="s">
        <v>2410</v>
      </c>
      <c r="D573" s="5" t="s">
        <v>2411</v>
      </c>
      <c r="E573" s="6" t="s">
        <v>2412</v>
      </c>
      <c r="F573" s="10"/>
      <c r="G573" s="11" t="s">
        <v>2413</v>
      </c>
      <c r="H573" s="12">
        <v>10</v>
      </c>
      <c r="I573" s="13" t="s">
        <v>41</v>
      </c>
      <c r="J573" s="13"/>
      <c r="K573" s="13"/>
      <c r="L573" s="4">
        <v>2</v>
      </c>
      <c r="M573" s="14">
        <f>297*(1-P3/100)</f>
        <v>297</v>
      </c>
      <c r="N573" s="15"/>
      <c r="O573" s="13">
        <f t="shared" ref="O573:O578" si="17">M573*N573</f>
        <v>0</v>
      </c>
      <c r="P573" s="13">
        <v>0</v>
      </c>
      <c r="Q573" s="13">
        <v>0</v>
      </c>
      <c r="R573" s="24"/>
      <c r="S573" s="25" t="s">
        <v>2414</v>
      </c>
      <c r="T573" s="25" t="s">
        <v>94</v>
      </c>
      <c r="U573" s="5"/>
      <c r="V573" s="5"/>
      <c r="W573" s="5" t="s">
        <v>46</v>
      </c>
      <c r="X573" s="5"/>
      <c r="Y573" s="5"/>
      <c r="Z573" s="5" t="str">
        <f>HYPERLINK("https://knigipp.ru/api/getInfo/image/5be738a2-3be7-11ec-a20f-ac1f6b442185")</f>
        <v>https://knigipp.ru/api/getInfo/image/5be738a2-3be7-11ec-a20f-ac1f6b442185</v>
      </c>
      <c r="AA573" s="33">
        <v>144</v>
      </c>
      <c r="AB573" s="5"/>
      <c r="AC573" s="5" t="s">
        <v>86</v>
      </c>
      <c r="AD573" s="33">
        <v>100</v>
      </c>
      <c r="AE573" s="5" t="s">
        <v>49</v>
      </c>
      <c r="AF573" s="5"/>
      <c r="AG573" s="5"/>
      <c r="AH573" s="5" t="s">
        <v>2415</v>
      </c>
    </row>
    <row r="574" spans="2:34" ht="21" customHeight="1" outlineLevel="4" x14ac:dyDescent="0.2">
      <c r="B574" s="4">
        <v>422</v>
      </c>
      <c r="C574" s="5" t="s">
        <v>2416</v>
      </c>
      <c r="D574" s="5" t="s">
        <v>2417</v>
      </c>
      <c r="E574" s="6" t="s">
        <v>2418</v>
      </c>
      <c r="F574" s="10"/>
      <c r="G574" s="11" t="s">
        <v>2419</v>
      </c>
      <c r="H574" s="12">
        <v>10</v>
      </c>
      <c r="I574" s="13" t="s">
        <v>41</v>
      </c>
      <c r="J574" s="13"/>
      <c r="K574" s="13"/>
      <c r="L574" s="4">
        <v>2</v>
      </c>
      <c r="M574" s="14">
        <f>297*(1-P3/100)</f>
        <v>297</v>
      </c>
      <c r="N574" s="15"/>
      <c r="O574" s="13">
        <f t="shared" si="17"/>
        <v>0</v>
      </c>
      <c r="P574" s="32">
        <f>0.37*N574</f>
        <v>0</v>
      </c>
      <c r="Q574" s="23">
        <f>0.00054*N574</f>
        <v>0</v>
      </c>
      <c r="R574" s="24"/>
      <c r="S574" s="25" t="s">
        <v>2420</v>
      </c>
      <c r="T574" s="25" t="s">
        <v>94</v>
      </c>
      <c r="U574" s="5"/>
      <c r="V574" s="5"/>
      <c r="W574" s="5" t="s">
        <v>46</v>
      </c>
      <c r="X574" s="5"/>
      <c r="Y574" s="5"/>
      <c r="Z574" s="5" t="str">
        <f>HYPERLINK("https://knigipp.ru/api/getInfo/image/6c6e392a-847c-11ea-a247-ac1f6b442184")</f>
        <v>https://knigipp.ru/api/getInfo/image/6c6e392a-847c-11ea-a247-ac1f6b442184</v>
      </c>
      <c r="AA574" s="33">
        <v>144</v>
      </c>
      <c r="AB574" s="5"/>
      <c r="AC574" s="5" t="s">
        <v>86</v>
      </c>
      <c r="AD574" s="33">
        <v>100</v>
      </c>
      <c r="AE574" s="5" t="s">
        <v>49</v>
      </c>
      <c r="AF574" s="5"/>
      <c r="AG574" s="5"/>
      <c r="AH574" s="5" t="s">
        <v>2415</v>
      </c>
    </row>
    <row r="575" spans="2:34" ht="21" customHeight="1" outlineLevel="4" x14ac:dyDescent="0.2">
      <c r="B575" s="4">
        <v>423</v>
      </c>
      <c r="C575" s="5" t="s">
        <v>2421</v>
      </c>
      <c r="D575" s="5" t="s">
        <v>2422</v>
      </c>
      <c r="E575" s="6" t="s">
        <v>2423</v>
      </c>
      <c r="F575" s="10"/>
      <c r="G575" s="11" t="s">
        <v>2419</v>
      </c>
      <c r="H575" s="12">
        <v>10</v>
      </c>
      <c r="I575" s="13" t="s">
        <v>41</v>
      </c>
      <c r="J575" s="13"/>
      <c r="K575" s="13"/>
      <c r="L575" s="4">
        <v>2</v>
      </c>
      <c r="M575" s="14">
        <f>297*(1-P3/100)</f>
        <v>297</v>
      </c>
      <c r="N575" s="15"/>
      <c r="O575" s="13">
        <f t="shared" si="17"/>
        <v>0</v>
      </c>
      <c r="P575" s="32">
        <f>0.37*N575</f>
        <v>0</v>
      </c>
      <c r="Q575" s="23">
        <f>0.00054*N575</f>
        <v>0</v>
      </c>
      <c r="R575" s="24"/>
      <c r="S575" s="25" t="s">
        <v>2424</v>
      </c>
      <c r="T575" s="25" t="s">
        <v>94</v>
      </c>
      <c r="U575" s="5"/>
      <c r="V575" s="5"/>
      <c r="W575" s="5" t="s">
        <v>46</v>
      </c>
      <c r="X575" s="5"/>
      <c r="Y575" s="5"/>
      <c r="Z575" s="5" t="str">
        <f>HYPERLINK("https://knigipp.ru/api/getInfo/image/4edbb840-847c-11ea-a247-ac1f6b442184")</f>
        <v>https://knigipp.ru/api/getInfo/image/4edbb840-847c-11ea-a247-ac1f6b442184</v>
      </c>
      <c r="AA575" s="33">
        <v>144</v>
      </c>
      <c r="AB575" s="5"/>
      <c r="AC575" s="5" t="s">
        <v>86</v>
      </c>
      <c r="AD575" s="33">
        <v>100</v>
      </c>
      <c r="AE575" s="5" t="s">
        <v>49</v>
      </c>
      <c r="AF575" s="5"/>
      <c r="AG575" s="5"/>
      <c r="AH575" s="5" t="s">
        <v>2415</v>
      </c>
    </row>
    <row r="576" spans="2:34" ht="21" customHeight="1" outlineLevel="4" x14ac:dyDescent="0.2">
      <c r="B576" s="4">
        <v>424</v>
      </c>
      <c r="C576" s="5" t="s">
        <v>2425</v>
      </c>
      <c r="D576" s="5" t="s">
        <v>2426</v>
      </c>
      <c r="E576" s="6" t="s">
        <v>2427</v>
      </c>
      <c r="F576" s="10"/>
      <c r="G576" s="11" t="s">
        <v>2419</v>
      </c>
      <c r="H576" s="12">
        <v>10</v>
      </c>
      <c r="I576" s="13" t="s">
        <v>41</v>
      </c>
      <c r="J576" s="13"/>
      <c r="K576" s="13"/>
      <c r="L576" s="4">
        <v>2</v>
      </c>
      <c r="M576" s="14">
        <f>297*(1-P3/100)</f>
        <v>297</v>
      </c>
      <c r="N576" s="15"/>
      <c r="O576" s="13">
        <f t="shared" si="17"/>
        <v>0</v>
      </c>
      <c r="P576" s="32">
        <f>0.37*N576</f>
        <v>0</v>
      </c>
      <c r="Q576" s="23">
        <f>0.00054*N576</f>
        <v>0</v>
      </c>
      <c r="R576" s="24"/>
      <c r="S576" s="25" t="s">
        <v>2428</v>
      </c>
      <c r="T576" s="25" t="s">
        <v>94</v>
      </c>
      <c r="U576" s="5"/>
      <c r="V576" s="5"/>
      <c r="W576" s="5" t="s">
        <v>46</v>
      </c>
      <c r="X576" s="5"/>
      <c r="Y576" s="5"/>
      <c r="Z576" s="5" t="str">
        <f>HYPERLINK("https://knigipp.ru/api/getInfo/image/8a3c5554-847c-11ea-a247-ac1f6b442184")</f>
        <v>https://knigipp.ru/api/getInfo/image/8a3c5554-847c-11ea-a247-ac1f6b442184</v>
      </c>
      <c r="AA576" s="33">
        <v>144</v>
      </c>
      <c r="AB576" s="5"/>
      <c r="AC576" s="5" t="s">
        <v>86</v>
      </c>
      <c r="AD576" s="33">
        <v>100</v>
      </c>
      <c r="AE576" s="5" t="s">
        <v>49</v>
      </c>
      <c r="AF576" s="5"/>
      <c r="AG576" s="5"/>
      <c r="AH576" s="5" t="s">
        <v>2415</v>
      </c>
    </row>
    <row r="577" spans="2:34" ht="21" customHeight="1" outlineLevel="4" x14ac:dyDescent="0.2">
      <c r="B577" s="4">
        <v>425</v>
      </c>
      <c r="C577" s="5" t="s">
        <v>2429</v>
      </c>
      <c r="D577" s="5" t="s">
        <v>2430</v>
      </c>
      <c r="E577" s="6" t="s">
        <v>2431</v>
      </c>
      <c r="F577" s="10"/>
      <c r="G577" s="11" t="s">
        <v>2419</v>
      </c>
      <c r="H577" s="12">
        <v>10</v>
      </c>
      <c r="I577" s="13" t="s">
        <v>41</v>
      </c>
      <c r="J577" s="13"/>
      <c r="K577" s="13"/>
      <c r="L577" s="4">
        <v>2</v>
      </c>
      <c r="M577" s="14">
        <f>297*(1-P3/100)</f>
        <v>297</v>
      </c>
      <c r="N577" s="15"/>
      <c r="O577" s="13">
        <f t="shared" si="17"/>
        <v>0</v>
      </c>
      <c r="P577" s="32">
        <f>0.37*N577</f>
        <v>0</v>
      </c>
      <c r="Q577" s="23">
        <f>0.00054*N577</f>
        <v>0</v>
      </c>
      <c r="R577" s="24"/>
      <c r="S577" s="25" t="s">
        <v>2432</v>
      </c>
      <c r="T577" s="25" t="s">
        <v>94</v>
      </c>
      <c r="U577" s="5"/>
      <c r="V577" s="5"/>
      <c r="W577" s="5" t="s">
        <v>46</v>
      </c>
      <c r="X577" s="5"/>
      <c r="Y577" s="5"/>
      <c r="Z577" s="5" t="str">
        <f>HYPERLINK("https://knigipp.ru/api/getInfo/image/2483eea0-847c-11ea-a247-ac1f6b442184")</f>
        <v>https://knigipp.ru/api/getInfo/image/2483eea0-847c-11ea-a247-ac1f6b442184</v>
      </c>
      <c r="AA577" s="33">
        <v>144</v>
      </c>
      <c r="AB577" s="5"/>
      <c r="AC577" s="5" t="s">
        <v>86</v>
      </c>
      <c r="AD577" s="33">
        <v>100</v>
      </c>
      <c r="AE577" s="5" t="s">
        <v>49</v>
      </c>
      <c r="AF577" s="5"/>
      <c r="AG577" s="5"/>
      <c r="AH577" s="5" t="s">
        <v>2415</v>
      </c>
    </row>
    <row r="578" spans="2:34" ht="21" customHeight="1" outlineLevel="4" x14ac:dyDescent="0.2">
      <c r="B578" s="4">
        <v>426</v>
      </c>
      <c r="C578" s="5" t="s">
        <v>2433</v>
      </c>
      <c r="D578" s="5" t="s">
        <v>2434</v>
      </c>
      <c r="E578" s="6" t="s">
        <v>2435</v>
      </c>
      <c r="F578" s="10"/>
      <c r="G578" s="11" t="s">
        <v>2436</v>
      </c>
      <c r="H578" s="12">
        <v>10</v>
      </c>
      <c r="I578" s="13" t="s">
        <v>41</v>
      </c>
      <c r="J578" s="13"/>
      <c r="K578" s="13"/>
      <c r="L578" s="4">
        <v>2</v>
      </c>
      <c r="M578" s="14">
        <f>297*(1-P3/100)</f>
        <v>297</v>
      </c>
      <c r="N578" s="15"/>
      <c r="O578" s="13">
        <f t="shared" si="17"/>
        <v>0</v>
      </c>
      <c r="P578" s="13">
        <v>0</v>
      </c>
      <c r="Q578" s="13">
        <v>0</v>
      </c>
      <c r="R578" s="24"/>
      <c r="S578" s="25" t="s">
        <v>2437</v>
      </c>
      <c r="T578" s="25" t="s">
        <v>94</v>
      </c>
      <c r="U578" s="5"/>
      <c r="V578" s="5"/>
      <c r="W578" s="5" t="s">
        <v>46</v>
      </c>
      <c r="X578" s="5"/>
      <c r="Y578" s="5"/>
      <c r="Z578" s="5" t="str">
        <f>HYPERLINK("https://knigipp.ru/api/getInfo/image/25b0d60d-3be7-11ec-a20f-ac1f6b442185")</f>
        <v>https://knigipp.ru/api/getInfo/image/25b0d60d-3be7-11ec-a20f-ac1f6b442185</v>
      </c>
      <c r="AA578" s="33">
        <v>144</v>
      </c>
      <c r="AB578" s="5"/>
      <c r="AC578" s="5" t="s">
        <v>86</v>
      </c>
      <c r="AD578" s="33">
        <v>100</v>
      </c>
      <c r="AE578" s="5" t="s">
        <v>49</v>
      </c>
      <c r="AF578" s="5"/>
      <c r="AG578" s="5"/>
      <c r="AH578" s="5" t="s">
        <v>2415</v>
      </c>
    </row>
    <row r="579" spans="2:34" ht="22.95" customHeight="1" outlineLevel="3" x14ac:dyDescent="0.2">
      <c r="B579" s="74" t="s">
        <v>2438</v>
      </c>
      <c r="C579" s="74"/>
      <c r="D579" s="74"/>
    </row>
    <row r="580" spans="2:34" ht="21" customHeight="1" outlineLevel="4" x14ac:dyDescent="0.2">
      <c r="B580" s="4">
        <v>427</v>
      </c>
      <c r="C580" s="5" t="s">
        <v>2439</v>
      </c>
      <c r="D580" s="5" t="s">
        <v>2440</v>
      </c>
      <c r="E580" s="6" t="s">
        <v>2441</v>
      </c>
      <c r="F580" s="10"/>
      <c r="G580" s="11" t="s">
        <v>2442</v>
      </c>
      <c r="H580" s="12">
        <v>20</v>
      </c>
      <c r="I580" s="13" t="s">
        <v>41</v>
      </c>
      <c r="J580" s="13"/>
      <c r="K580" s="13"/>
      <c r="L580" s="4">
        <v>4</v>
      </c>
      <c r="M580" s="14">
        <f>169.3*(1-P3/100)</f>
        <v>169.3</v>
      </c>
      <c r="N580" s="15"/>
      <c r="O580" s="13">
        <f t="shared" ref="O580:O596" si="18">M580*N580</f>
        <v>0</v>
      </c>
      <c r="P580" s="13">
        <v>0</v>
      </c>
      <c r="Q580" s="13">
        <v>0</v>
      </c>
      <c r="R580" s="24"/>
      <c r="S580" s="25" t="s">
        <v>2443</v>
      </c>
      <c r="T580" s="25" t="s">
        <v>94</v>
      </c>
      <c r="U580" s="5"/>
      <c r="V580" s="5"/>
      <c r="W580" s="5" t="s">
        <v>46</v>
      </c>
      <c r="X580" s="5" t="s">
        <v>2349</v>
      </c>
      <c r="Y580" s="5"/>
      <c r="Z580" s="5" t="str">
        <f>HYPERLINK("https://knigipp.ru/api/getInfo/image/a5a46fe7-1f21-11ee-a23c-00155d82e902")</f>
        <v>https://knigipp.ru/api/getInfo/image/a5a46fe7-1f21-11ee-a23c-00155d82e902</v>
      </c>
      <c r="AA580" s="33">
        <v>128</v>
      </c>
      <c r="AB580" s="5" t="s">
        <v>574</v>
      </c>
      <c r="AC580" s="5" t="s">
        <v>86</v>
      </c>
      <c r="AD580" s="33">
        <v>100</v>
      </c>
      <c r="AE580" s="5" t="s">
        <v>49</v>
      </c>
      <c r="AF580" s="5"/>
      <c r="AG580" s="5"/>
      <c r="AH580" s="5" t="s">
        <v>2444</v>
      </c>
    </row>
    <row r="581" spans="2:34" ht="21" customHeight="1" outlineLevel="4" x14ac:dyDescent="0.2">
      <c r="B581" s="4">
        <v>428</v>
      </c>
      <c r="C581" s="5" t="s">
        <v>2445</v>
      </c>
      <c r="D581" s="5" t="s">
        <v>2446</v>
      </c>
      <c r="E581" s="6" t="s">
        <v>2447</v>
      </c>
      <c r="F581" s="10"/>
      <c r="G581" s="11" t="s">
        <v>2448</v>
      </c>
      <c r="H581" s="12">
        <v>20</v>
      </c>
      <c r="I581" s="13" t="s">
        <v>41</v>
      </c>
      <c r="J581" s="13"/>
      <c r="K581" s="13"/>
      <c r="L581" s="4">
        <v>4</v>
      </c>
      <c r="M581" s="14">
        <f>169.3*(1-P3/100)</f>
        <v>169.3</v>
      </c>
      <c r="N581" s="15"/>
      <c r="O581" s="13">
        <f t="shared" si="18"/>
        <v>0</v>
      </c>
      <c r="P581" s="22">
        <f>0.138*N581</f>
        <v>0</v>
      </c>
      <c r="Q581" s="23">
        <f>0.00029*N581</f>
        <v>0</v>
      </c>
      <c r="R581" s="24"/>
      <c r="S581" s="25" t="s">
        <v>2449</v>
      </c>
      <c r="T581" s="25" t="s">
        <v>94</v>
      </c>
      <c r="U581" s="5"/>
      <c r="V581" s="5"/>
      <c r="W581" s="5" t="s">
        <v>46</v>
      </c>
      <c r="X581" s="5"/>
      <c r="Y581" s="5"/>
      <c r="Z581" s="5" t="str">
        <f>HYPERLINK("https://knigipp.ru/api/getInfo/image/ce3653f2-4a27-11ed-a216-ac1f6b442185")</f>
        <v>https://knigipp.ru/api/getInfo/image/ce3653f2-4a27-11ed-a216-ac1f6b442185</v>
      </c>
      <c r="AA581" s="33">
        <v>128</v>
      </c>
      <c r="AB581" s="5"/>
      <c r="AC581" s="5" t="s">
        <v>86</v>
      </c>
      <c r="AD581" s="33">
        <v>100</v>
      </c>
      <c r="AE581" s="5" t="s">
        <v>49</v>
      </c>
      <c r="AF581" s="5"/>
      <c r="AG581" s="5"/>
      <c r="AH581" s="5" t="s">
        <v>2444</v>
      </c>
    </row>
    <row r="582" spans="2:34" ht="21" customHeight="1" outlineLevel="4" x14ac:dyDescent="0.2">
      <c r="B582" s="4">
        <v>429</v>
      </c>
      <c r="C582" s="5" t="s">
        <v>2450</v>
      </c>
      <c r="D582" s="5" t="s">
        <v>2451</v>
      </c>
      <c r="E582" s="6" t="s">
        <v>2452</v>
      </c>
      <c r="F582" s="10"/>
      <c r="G582" s="11" t="s">
        <v>2448</v>
      </c>
      <c r="H582" s="12">
        <v>20</v>
      </c>
      <c r="I582" s="13" t="s">
        <v>41</v>
      </c>
      <c r="J582" s="13"/>
      <c r="K582" s="13"/>
      <c r="L582" s="4">
        <v>4</v>
      </c>
      <c r="M582" s="14">
        <f>169.3*(1-P3/100)</f>
        <v>169.3</v>
      </c>
      <c r="N582" s="15"/>
      <c r="O582" s="13">
        <f t="shared" si="18"/>
        <v>0</v>
      </c>
      <c r="P582" s="22">
        <f>0.142*N582</f>
        <v>0</v>
      </c>
      <c r="Q582" s="23">
        <f>0.00025*N582</f>
        <v>0</v>
      </c>
      <c r="R582" s="24"/>
      <c r="S582" s="25" t="s">
        <v>2453</v>
      </c>
      <c r="T582" s="25" t="s">
        <v>94</v>
      </c>
      <c r="U582" s="5"/>
      <c r="V582" s="5"/>
      <c r="W582" s="5" t="s">
        <v>46</v>
      </c>
      <c r="X582" s="5" t="s">
        <v>2454</v>
      </c>
      <c r="Y582" s="5"/>
      <c r="Z582" s="5" t="str">
        <f>HYPERLINK("https://knigipp.ru/api/getInfo/image/3d6a92c0-9b3f-11ee-a256-00155d82e908")</f>
        <v>https://knigipp.ru/api/getInfo/image/3d6a92c0-9b3f-11ee-a256-00155d82e908</v>
      </c>
      <c r="AA582" s="33">
        <v>128</v>
      </c>
      <c r="AB582" s="5" t="s">
        <v>598</v>
      </c>
      <c r="AC582" s="5" t="s">
        <v>86</v>
      </c>
      <c r="AD582" s="33">
        <v>100</v>
      </c>
      <c r="AE582" s="5" t="s">
        <v>49</v>
      </c>
      <c r="AF582" s="5"/>
      <c r="AG582" s="5"/>
      <c r="AH582" s="5" t="s">
        <v>2444</v>
      </c>
    </row>
    <row r="583" spans="2:34" ht="21" customHeight="1" outlineLevel="4" x14ac:dyDescent="0.2">
      <c r="B583" s="4">
        <v>430</v>
      </c>
      <c r="C583" s="5" t="s">
        <v>2455</v>
      </c>
      <c r="D583" s="5" t="s">
        <v>2456</v>
      </c>
      <c r="E583" s="6" t="s">
        <v>2457</v>
      </c>
      <c r="F583" s="10"/>
      <c r="G583" s="11" t="s">
        <v>2448</v>
      </c>
      <c r="H583" s="12">
        <v>20</v>
      </c>
      <c r="I583" s="13" t="s">
        <v>41</v>
      </c>
      <c r="J583" s="13"/>
      <c r="K583" s="13"/>
      <c r="L583" s="4">
        <v>4</v>
      </c>
      <c r="M583" s="14">
        <f>169.3*(1-P3/100)</f>
        <v>169.3</v>
      </c>
      <c r="N583" s="15"/>
      <c r="O583" s="13">
        <f t="shared" si="18"/>
        <v>0</v>
      </c>
      <c r="P583" s="22">
        <f>0.132*N583</f>
        <v>0</v>
      </c>
      <c r="Q583" s="23">
        <f>0.00029*N583</f>
        <v>0</v>
      </c>
      <c r="R583" s="24"/>
      <c r="S583" s="25" t="s">
        <v>2458</v>
      </c>
      <c r="T583" s="25" t="s">
        <v>94</v>
      </c>
      <c r="U583" s="5"/>
      <c r="V583" s="5"/>
      <c r="W583" s="5" t="s">
        <v>46</v>
      </c>
      <c r="X583" s="5" t="s">
        <v>2454</v>
      </c>
      <c r="Y583" s="5"/>
      <c r="Z583" s="5" t="str">
        <f>HYPERLINK("https://knigipp.ru/api/getInfo/image/a368375d-9b3f-11ee-a256-00155d82e908")</f>
        <v>https://knigipp.ru/api/getInfo/image/a368375d-9b3f-11ee-a256-00155d82e908</v>
      </c>
      <c r="AA583" s="33">
        <v>128</v>
      </c>
      <c r="AB583" s="5" t="s">
        <v>598</v>
      </c>
      <c r="AC583" s="5" t="s">
        <v>86</v>
      </c>
      <c r="AD583" s="33">
        <v>100</v>
      </c>
      <c r="AE583" s="5" t="s">
        <v>49</v>
      </c>
      <c r="AF583" s="5"/>
      <c r="AG583" s="5"/>
      <c r="AH583" s="5" t="s">
        <v>2444</v>
      </c>
    </row>
    <row r="584" spans="2:34" ht="21" customHeight="1" outlineLevel="4" x14ac:dyDescent="0.2">
      <c r="B584" s="4">
        <v>431</v>
      </c>
      <c r="C584" s="5" t="s">
        <v>2459</v>
      </c>
      <c r="D584" s="5" t="s">
        <v>2460</v>
      </c>
      <c r="E584" s="6" t="s">
        <v>2461</v>
      </c>
      <c r="F584" s="10"/>
      <c r="G584" s="11" t="s">
        <v>2462</v>
      </c>
      <c r="H584" s="12">
        <v>20</v>
      </c>
      <c r="I584" s="13" t="s">
        <v>41</v>
      </c>
      <c r="J584" s="13"/>
      <c r="K584" s="13"/>
      <c r="L584" s="4">
        <v>4</v>
      </c>
      <c r="M584" s="14">
        <f>169.3*(1-P3/100)</f>
        <v>169.3</v>
      </c>
      <c r="N584" s="15"/>
      <c r="O584" s="13">
        <f t="shared" si="18"/>
        <v>0</v>
      </c>
      <c r="P584" s="22">
        <f>0.128*N584</f>
        <v>0</v>
      </c>
      <c r="Q584" s="23">
        <f>0.00025*N584</f>
        <v>0</v>
      </c>
      <c r="R584" s="24"/>
      <c r="S584" s="25" t="s">
        <v>2463</v>
      </c>
      <c r="T584" s="25" t="s">
        <v>94</v>
      </c>
      <c r="U584" s="5"/>
      <c r="V584" s="5" t="s">
        <v>2464</v>
      </c>
      <c r="W584" s="5" t="s">
        <v>46</v>
      </c>
      <c r="X584" s="5" t="s">
        <v>2465</v>
      </c>
      <c r="Y584" s="5"/>
      <c r="Z584" s="5" t="str">
        <f>HYPERLINK("https://knigipp.ru/api/getInfo/image/0f29d633-d175-11ee-a25a-00155d82e908")</f>
        <v>https://knigipp.ru/api/getInfo/image/0f29d633-d175-11ee-a25a-00155d82e908</v>
      </c>
      <c r="AA584" s="33">
        <v>128</v>
      </c>
      <c r="AB584" s="5" t="s">
        <v>598</v>
      </c>
      <c r="AC584" s="5" t="s">
        <v>86</v>
      </c>
      <c r="AD584" s="33">
        <v>100</v>
      </c>
      <c r="AE584" s="5" t="s">
        <v>49</v>
      </c>
      <c r="AF584" s="5"/>
      <c r="AG584" s="5"/>
      <c r="AH584" s="5" t="s">
        <v>2444</v>
      </c>
    </row>
    <row r="585" spans="2:34" ht="21" customHeight="1" outlineLevel="4" x14ac:dyDescent="0.2">
      <c r="B585" s="4">
        <v>432</v>
      </c>
      <c r="C585" s="5" t="s">
        <v>2466</v>
      </c>
      <c r="D585" s="5" t="s">
        <v>2467</v>
      </c>
      <c r="E585" s="6" t="s">
        <v>2468</v>
      </c>
      <c r="F585" s="10"/>
      <c r="G585" s="11" t="s">
        <v>2442</v>
      </c>
      <c r="H585" s="12">
        <v>20</v>
      </c>
      <c r="I585" s="13" t="s">
        <v>41</v>
      </c>
      <c r="J585" s="13"/>
      <c r="K585" s="13"/>
      <c r="L585" s="4">
        <v>4</v>
      </c>
      <c r="M585" s="14">
        <f>169.3*(1-P3/100)</f>
        <v>169.3</v>
      </c>
      <c r="N585" s="15"/>
      <c r="O585" s="13">
        <f t="shared" si="18"/>
        <v>0</v>
      </c>
      <c r="P585" s="13">
        <v>0</v>
      </c>
      <c r="Q585" s="13">
        <v>0</v>
      </c>
      <c r="R585" s="24"/>
      <c r="S585" s="25" t="s">
        <v>2469</v>
      </c>
      <c r="T585" s="25" t="s">
        <v>94</v>
      </c>
      <c r="U585" s="5"/>
      <c r="V585" s="5"/>
      <c r="W585" s="5" t="s">
        <v>46</v>
      </c>
      <c r="X585" s="5" t="s">
        <v>2349</v>
      </c>
      <c r="Y585" s="5"/>
      <c r="Z585" s="5" t="str">
        <f>HYPERLINK("https://knigipp.ru/api/getInfo/image/e0dfd25e-1f21-11ee-a23c-00155d82e902")</f>
        <v>https://knigipp.ru/api/getInfo/image/e0dfd25e-1f21-11ee-a23c-00155d82e902</v>
      </c>
      <c r="AA585" s="33">
        <v>128</v>
      </c>
      <c r="AB585" s="5" t="s">
        <v>574</v>
      </c>
      <c r="AC585" s="5" t="s">
        <v>86</v>
      </c>
      <c r="AD585" s="33">
        <v>100</v>
      </c>
      <c r="AE585" s="5" t="s">
        <v>49</v>
      </c>
      <c r="AF585" s="5"/>
      <c r="AG585" s="5"/>
      <c r="AH585" s="5" t="s">
        <v>2444</v>
      </c>
    </row>
    <row r="586" spans="2:34" ht="21" customHeight="1" outlineLevel="4" x14ac:dyDescent="0.2">
      <c r="B586" s="4">
        <v>433</v>
      </c>
      <c r="C586" s="5" t="s">
        <v>2470</v>
      </c>
      <c r="D586" s="5" t="s">
        <v>2471</v>
      </c>
      <c r="E586" s="6" t="s">
        <v>2472</v>
      </c>
      <c r="F586" s="10"/>
      <c r="G586" s="11" t="s">
        <v>2473</v>
      </c>
      <c r="H586" s="12">
        <v>20</v>
      </c>
      <c r="I586" s="13" t="s">
        <v>41</v>
      </c>
      <c r="J586" s="13"/>
      <c r="K586" s="13"/>
      <c r="L586" s="4">
        <v>4</v>
      </c>
      <c r="M586" s="14">
        <f>169.3*(1-P3/100)</f>
        <v>169.3</v>
      </c>
      <c r="N586" s="15"/>
      <c r="O586" s="13">
        <f t="shared" si="18"/>
        <v>0</v>
      </c>
      <c r="P586" s="32">
        <f>0.13*N586</f>
        <v>0</v>
      </c>
      <c r="Q586" s="23">
        <f>0.00023*N586</f>
        <v>0</v>
      </c>
      <c r="R586" s="24"/>
      <c r="S586" s="25" t="s">
        <v>2474</v>
      </c>
      <c r="T586" s="25" t="s">
        <v>94</v>
      </c>
      <c r="U586" s="5"/>
      <c r="V586" s="5" t="s">
        <v>2475</v>
      </c>
      <c r="W586" s="5" t="s">
        <v>46</v>
      </c>
      <c r="X586" s="5" t="s">
        <v>2465</v>
      </c>
      <c r="Y586" s="5"/>
      <c r="Z586" s="5" t="str">
        <f>HYPERLINK("https://knigipp.ru/api/getInfo/image/38917254-d175-11ee-a25a-00155d82e908")</f>
        <v>https://knigipp.ru/api/getInfo/image/38917254-d175-11ee-a25a-00155d82e908</v>
      </c>
      <c r="AA586" s="33">
        <v>128</v>
      </c>
      <c r="AB586" s="5" t="s">
        <v>598</v>
      </c>
      <c r="AC586" s="5" t="s">
        <v>86</v>
      </c>
      <c r="AD586" s="33">
        <v>100</v>
      </c>
      <c r="AE586" s="5" t="s">
        <v>49</v>
      </c>
      <c r="AF586" s="5"/>
      <c r="AG586" s="5"/>
      <c r="AH586" s="5" t="s">
        <v>2444</v>
      </c>
    </row>
    <row r="587" spans="2:34" ht="21" customHeight="1" outlineLevel="4" x14ac:dyDescent="0.2">
      <c r="B587" s="4">
        <v>434</v>
      </c>
      <c r="C587" s="5" t="s">
        <v>2476</v>
      </c>
      <c r="D587" s="5" t="s">
        <v>2477</v>
      </c>
      <c r="E587" s="6" t="s">
        <v>2478</v>
      </c>
      <c r="F587" s="10"/>
      <c r="G587" s="11" t="s">
        <v>2448</v>
      </c>
      <c r="H587" s="12">
        <v>20</v>
      </c>
      <c r="I587" s="13" t="s">
        <v>41</v>
      </c>
      <c r="J587" s="13"/>
      <c r="K587" s="13"/>
      <c r="L587" s="4">
        <v>4</v>
      </c>
      <c r="M587" s="14">
        <f>169.3*(1-P3/100)</f>
        <v>169.3</v>
      </c>
      <c r="N587" s="15"/>
      <c r="O587" s="13">
        <f t="shared" si="18"/>
        <v>0</v>
      </c>
      <c r="P587" s="13">
        <v>0</v>
      </c>
      <c r="Q587" s="13">
        <v>0</v>
      </c>
      <c r="R587" s="24"/>
      <c r="S587" s="25" t="s">
        <v>2479</v>
      </c>
      <c r="T587" s="25" t="s">
        <v>94</v>
      </c>
      <c r="U587" s="5"/>
      <c r="V587" s="5"/>
      <c r="W587" s="5" t="s">
        <v>46</v>
      </c>
      <c r="X587" s="5"/>
      <c r="Y587" s="5"/>
      <c r="Z587" s="5" t="str">
        <f>HYPERLINK("https://knigipp.ru/api/getInfo/image/527bfe0f-0a63-11ec-a20e-ac1f6b442185")</f>
        <v>https://knigipp.ru/api/getInfo/image/527bfe0f-0a63-11ec-a20e-ac1f6b442185</v>
      </c>
      <c r="AA587" s="33">
        <v>128</v>
      </c>
      <c r="AB587" s="5"/>
      <c r="AC587" s="5" t="s">
        <v>86</v>
      </c>
      <c r="AD587" s="33">
        <v>100</v>
      </c>
      <c r="AE587" s="5" t="s">
        <v>49</v>
      </c>
      <c r="AF587" s="5"/>
      <c r="AG587" s="5"/>
      <c r="AH587" s="5" t="s">
        <v>2444</v>
      </c>
    </row>
    <row r="588" spans="2:34" ht="21" customHeight="1" outlineLevel="4" x14ac:dyDescent="0.2">
      <c r="B588" s="4">
        <v>435</v>
      </c>
      <c r="C588" s="5" t="s">
        <v>2480</v>
      </c>
      <c r="D588" s="5" t="s">
        <v>2481</v>
      </c>
      <c r="E588" s="6" t="s">
        <v>2482</v>
      </c>
      <c r="F588" s="10"/>
      <c r="G588" s="11" t="s">
        <v>2448</v>
      </c>
      <c r="H588" s="12">
        <v>20</v>
      </c>
      <c r="I588" s="13" t="s">
        <v>41</v>
      </c>
      <c r="J588" s="13"/>
      <c r="K588" s="13"/>
      <c r="L588" s="4">
        <v>4</v>
      </c>
      <c r="M588" s="14">
        <f>169.3*(1-P3/100)</f>
        <v>169.3</v>
      </c>
      <c r="N588" s="15"/>
      <c r="O588" s="13">
        <f t="shared" si="18"/>
        <v>0</v>
      </c>
      <c r="P588" s="22">
        <f>0.142*N588</f>
        <v>0</v>
      </c>
      <c r="Q588" s="23">
        <f>0.00025*N588</f>
        <v>0</v>
      </c>
      <c r="R588" s="24"/>
      <c r="S588" s="25" t="s">
        <v>2483</v>
      </c>
      <c r="T588" s="25" t="s">
        <v>94</v>
      </c>
      <c r="U588" s="5"/>
      <c r="V588" s="5"/>
      <c r="W588" s="5" t="s">
        <v>46</v>
      </c>
      <c r="X588" s="5"/>
      <c r="Y588" s="5"/>
      <c r="Z588" s="5" t="str">
        <f>HYPERLINK("https://knigipp.ru/api/getInfo/image/363ba040-4a29-11ed-a216-ac1f6b442185")</f>
        <v>https://knigipp.ru/api/getInfo/image/363ba040-4a29-11ed-a216-ac1f6b442185</v>
      </c>
      <c r="AA588" s="33">
        <v>128</v>
      </c>
      <c r="AB588" s="5"/>
      <c r="AC588" s="5" t="s">
        <v>86</v>
      </c>
      <c r="AD588" s="33">
        <v>100</v>
      </c>
      <c r="AE588" s="5" t="s">
        <v>49</v>
      </c>
      <c r="AF588" s="5"/>
      <c r="AG588" s="5"/>
      <c r="AH588" s="5" t="s">
        <v>2444</v>
      </c>
    </row>
    <row r="589" spans="2:34" ht="21" customHeight="1" outlineLevel="4" x14ac:dyDescent="0.2">
      <c r="B589" s="4">
        <v>436</v>
      </c>
      <c r="C589" s="5" t="s">
        <v>2484</v>
      </c>
      <c r="D589" s="5" t="s">
        <v>2485</v>
      </c>
      <c r="E589" s="6" t="s">
        <v>2486</v>
      </c>
      <c r="F589" s="10"/>
      <c r="G589" s="11" t="s">
        <v>2448</v>
      </c>
      <c r="H589" s="12">
        <v>20</v>
      </c>
      <c r="I589" s="13" t="s">
        <v>41</v>
      </c>
      <c r="J589" s="13"/>
      <c r="K589" s="13"/>
      <c r="L589" s="4">
        <v>4</v>
      </c>
      <c r="M589" s="14">
        <f>169.3*(1-P3/100)</f>
        <v>169.3</v>
      </c>
      <c r="N589" s="15"/>
      <c r="O589" s="13">
        <f t="shared" si="18"/>
        <v>0</v>
      </c>
      <c r="P589" s="22">
        <f>0.101*N589</f>
        <v>0</v>
      </c>
      <c r="Q589" s="30">
        <f>0.0002*N589</f>
        <v>0</v>
      </c>
      <c r="R589" s="24"/>
      <c r="S589" s="25" t="s">
        <v>2487</v>
      </c>
      <c r="T589" s="25" t="s">
        <v>94</v>
      </c>
      <c r="U589" s="5"/>
      <c r="V589" s="5"/>
      <c r="W589" s="5" t="s">
        <v>46</v>
      </c>
      <c r="X589" s="5"/>
      <c r="Y589" s="5"/>
      <c r="Z589" s="5" t="str">
        <f>HYPERLINK("https://knigipp.ru/api/getInfo/image/5cba59af-4a28-11ed-a216-ac1f6b442185")</f>
        <v>https://knigipp.ru/api/getInfo/image/5cba59af-4a28-11ed-a216-ac1f6b442185</v>
      </c>
      <c r="AA589" s="33">
        <v>128</v>
      </c>
      <c r="AB589" s="5"/>
      <c r="AC589" s="5" t="s">
        <v>86</v>
      </c>
      <c r="AD589" s="33">
        <v>100</v>
      </c>
      <c r="AE589" s="5" t="s">
        <v>49</v>
      </c>
      <c r="AF589" s="5"/>
      <c r="AG589" s="5"/>
      <c r="AH589" s="5" t="s">
        <v>2444</v>
      </c>
    </row>
    <row r="590" spans="2:34" ht="21" customHeight="1" outlineLevel="4" x14ac:dyDescent="0.2">
      <c r="B590" s="4">
        <v>437</v>
      </c>
      <c r="C590" s="5" t="s">
        <v>2488</v>
      </c>
      <c r="D590" s="5" t="s">
        <v>2489</v>
      </c>
      <c r="E590" s="6" t="s">
        <v>2490</v>
      </c>
      <c r="F590" s="10"/>
      <c r="G590" s="11" t="s">
        <v>2473</v>
      </c>
      <c r="H590" s="12">
        <v>20</v>
      </c>
      <c r="I590" s="13" t="s">
        <v>371</v>
      </c>
      <c r="J590" s="13"/>
      <c r="K590" s="13"/>
      <c r="L590" s="4">
        <v>4</v>
      </c>
      <c r="M590" s="14">
        <f>169.3*(1-P3/100)</f>
        <v>169.3</v>
      </c>
      <c r="N590" s="15"/>
      <c r="O590" s="13">
        <f t="shared" si="18"/>
        <v>0</v>
      </c>
      <c r="P590" s="22">
        <f>0.129*N590</f>
        <v>0</v>
      </c>
      <c r="Q590" s="23">
        <f>0.00027*N590</f>
        <v>0</v>
      </c>
      <c r="R590" s="24"/>
      <c r="S590" s="25" t="s">
        <v>2491</v>
      </c>
      <c r="T590" s="25" t="s">
        <v>94</v>
      </c>
      <c r="U590" s="5"/>
      <c r="V590" s="5" t="s">
        <v>2492</v>
      </c>
      <c r="W590" s="5" t="s">
        <v>46</v>
      </c>
      <c r="X590" s="5" t="s">
        <v>2465</v>
      </c>
      <c r="Y590" s="5"/>
      <c r="Z590" s="5" t="str">
        <f>HYPERLINK("https://knigipp.ru/api/getInfo/image/eb80ba81-d174-11ee-a25a-00155d82e908")</f>
        <v>https://knigipp.ru/api/getInfo/image/eb80ba81-d174-11ee-a25a-00155d82e908</v>
      </c>
      <c r="AA590" s="33">
        <v>128</v>
      </c>
      <c r="AB590" s="5" t="s">
        <v>598</v>
      </c>
      <c r="AC590" s="5" t="s">
        <v>86</v>
      </c>
      <c r="AD590" s="33">
        <v>100</v>
      </c>
      <c r="AE590" s="5" t="s">
        <v>49</v>
      </c>
      <c r="AF590" s="5"/>
      <c r="AG590" s="5"/>
      <c r="AH590" s="5" t="s">
        <v>2444</v>
      </c>
    </row>
    <row r="591" spans="2:34" ht="21" customHeight="1" outlineLevel="4" x14ac:dyDescent="0.2">
      <c r="B591" s="4">
        <v>438</v>
      </c>
      <c r="C591" s="5" t="s">
        <v>2493</v>
      </c>
      <c r="D591" s="5" t="s">
        <v>2494</v>
      </c>
      <c r="E591" s="6" t="s">
        <v>2495</v>
      </c>
      <c r="F591" s="10"/>
      <c r="G591" s="11" t="s">
        <v>2448</v>
      </c>
      <c r="H591" s="12">
        <v>20</v>
      </c>
      <c r="I591" s="13" t="s">
        <v>41</v>
      </c>
      <c r="J591" s="13"/>
      <c r="K591" s="13"/>
      <c r="L591" s="4">
        <v>4</v>
      </c>
      <c r="M591" s="14">
        <f>169.3*(1-P3/100)</f>
        <v>169.3</v>
      </c>
      <c r="N591" s="15"/>
      <c r="O591" s="13">
        <f t="shared" si="18"/>
        <v>0</v>
      </c>
      <c r="P591" s="22">
        <f>0.138*N591</f>
        <v>0</v>
      </c>
      <c r="Q591" s="23">
        <f>0.00029*N591</f>
        <v>0</v>
      </c>
      <c r="R591" s="24"/>
      <c r="S591" s="25" t="s">
        <v>2496</v>
      </c>
      <c r="T591" s="25" t="s">
        <v>94</v>
      </c>
      <c r="U591" s="5"/>
      <c r="V591" s="5"/>
      <c r="W591" s="5" t="s">
        <v>46</v>
      </c>
      <c r="X591" s="5" t="s">
        <v>2497</v>
      </c>
      <c r="Y591" s="5"/>
      <c r="Z591" s="5" t="str">
        <f>HYPERLINK("https://knigipp.ru/api/getInfo/image/883fd6e4-9b3f-11ee-a256-00155d82e908")</f>
        <v>https://knigipp.ru/api/getInfo/image/883fd6e4-9b3f-11ee-a256-00155d82e908</v>
      </c>
      <c r="AA591" s="33">
        <v>128</v>
      </c>
      <c r="AB591" s="5"/>
      <c r="AC591" s="5" t="s">
        <v>86</v>
      </c>
      <c r="AD591" s="33">
        <v>100</v>
      </c>
      <c r="AE591" s="5" t="s">
        <v>49</v>
      </c>
      <c r="AF591" s="5"/>
      <c r="AG591" s="5"/>
      <c r="AH591" s="5" t="s">
        <v>2444</v>
      </c>
    </row>
    <row r="592" spans="2:34" ht="21" customHeight="1" outlineLevel="4" x14ac:dyDescent="0.2">
      <c r="B592" s="4">
        <v>439</v>
      </c>
      <c r="C592" s="5" t="s">
        <v>2498</v>
      </c>
      <c r="D592" s="5" t="s">
        <v>2499</v>
      </c>
      <c r="E592" s="6" t="s">
        <v>2500</v>
      </c>
      <c r="F592" s="10"/>
      <c r="G592" s="11" t="s">
        <v>2448</v>
      </c>
      <c r="H592" s="12">
        <v>20</v>
      </c>
      <c r="I592" s="13" t="s">
        <v>41</v>
      </c>
      <c r="J592" s="13"/>
      <c r="K592" s="13"/>
      <c r="L592" s="4">
        <v>4</v>
      </c>
      <c r="M592" s="14">
        <f>169.3*(1-P3/100)</f>
        <v>169.3</v>
      </c>
      <c r="N592" s="15"/>
      <c r="O592" s="13">
        <f t="shared" si="18"/>
        <v>0</v>
      </c>
      <c r="P592" s="22">
        <f>0.132*N592</f>
        <v>0</v>
      </c>
      <c r="Q592" s="23">
        <f>0.00029*N592</f>
        <v>0</v>
      </c>
      <c r="R592" s="24"/>
      <c r="S592" s="25" t="s">
        <v>2501</v>
      </c>
      <c r="T592" s="25" t="s">
        <v>94</v>
      </c>
      <c r="U592" s="5"/>
      <c r="V592" s="5"/>
      <c r="W592" s="5" t="s">
        <v>46</v>
      </c>
      <c r="X592" s="5"/>
      <c r="Y592" s="5"/>
      <c r="Z592" s="5" t="str">
        <f>HYPERLINK("https://knigipp.ru/api/getInfo/image/2296cc55-4a28-11ed-a216-ac1f6b442185")</f>
        <v>https://knigipp.ru/api/getInfo/image/2296cc55-4a28-11ed-a216-ac1f6b442185</v>
      </c>
      <c r="AA592" s="33">
        <v>128</v>
      </c>
      <c r="AB592" s="5"/>
      <c r="AC592" s="5" t="s">
        <v>86</v>
      </c>
      <c r="AD592" s="33">
        <v>100</v>
      </c>
      <c r="AE592" s="5" t="s">
        <v>49</v>
      </c>
      <c r="AF592" s="5"/>
      <c r="AG592" s="5"/>
      <c r="AH592" s="5" t="s">
        <v>2444</v>
      </c>
    </row>
    <row r="593" spans="2:34" ht="21" customHeight="1" outlineLevel="4" x14ac:dyDescent="0.2">
      <c r="B593" s="4">
        <v>440</v>
      </c>
      <c r="C593" s="5" t="s">
        <v>2502</v>
      </c>
      <c r="D593" s="5" t="s">
        <v>2503</v>
      </c>
      <c r="E593" s="6" t="s">
        <v>2504</v>
      </c>
      <c r="F593" s="10"/>
      <c r="G593" s="11" t="s">
        <v>2442</v>
      </c>
      <c r="H593" s="12">
        <v>20</v>
      </c>
      <c r="I593" s="13" t="s">
        <v>41</v>
      </c>
      <c r="J593" s="13"/>
      <c r="K593" s="13"/>
      <c r="L593" s="4">
        <v>4</v>
      </c>
      <c r="M593" s="14">
        <f>169.3*(1-P3/100)</f>
        <v>169.3</v>
      </c>
      <c r="N593" s="15"/>
      <c r="O593" s="13">
        <f t="shared" si="18"/>
        <v>0</v>
      </c>
      <c r="P593" s="13">
        <v>0</v>
      </c>
      <c r="Q593" s="13">
        <v>0</v>
      </c>
      <c r="R593" s="24"/>
      <c r="S593" s="25" t="s">
        <v>2505</v>
      </c>
      <c r="T593" s="25" t="s">
        <v>94</v>
      </c>
      <c r="U593" s="5"/>
      <c r="V593" s="5"/>
      <c r="W593" s="5" t="s">
        <v>46</v>
      </c>
      <c r="X593" s="5" t="s">
        <v>2349</v>
      </c>
      <c r="Y593" s="5"/>
      <c r="Z593" s="5" t="str">
        <f>HYPERLINK("https://knigipp.ru/api/getInfo/image/7e846922-1f21-11ee-a23c-00155d82e902")</f>
        <v>https://knigipp.ru/api/getInfo/image/7e846922-1f21-11ee-a23c-00155d82e902</v>
      </c>
      <c r="AA593" s="33">
        <v>128</v>
      </c>
      <c r="AB593" s="5" t="s">
        <v>574</v>
      </c>
      <c r="AC593" s="5" t="s">
        <v>86</v>
      </c>
      <c r="AD593" s="33">
        <v>100</v>
      </c>
      <c r="AE593" s="5" t="s">
        <v>49</v>
      </c>
      <c r="AF593" s="5"/>
      <c r="AG593" s="5"/>
      <c r="AH593" s="5" t="s">
        <v>2444</v>
      </c>
    </row>
    <row r="594" spans="2:34" ht="21" customHeight="1" outlineLevel="4" x14ac:dyDescent="0.2">
      <c r="B594" s="4">
        <v>441</v>
      </c>
      <c r="C594" s="5" t="s">
        <v>2506</v>
      </c>
      <c r="D594" s="5" t="s">
        <v>2507</v>
      </c>
      <c r="E594" s="6" t="s">
        <v>2508</v>
      </c>
      <c r="F594" s="10"/>
      <c r="G594" s="11" t="s">
        <v>2448</v>
      </c>
      <c r="H594" s="12">
        <v>20</v>
      </c>
      <c r="I594" s="13" t="s">
        <v>41</v>
      </c>
      <c r="J594" s="13"/>
      <c r="K594" s="13"/>
      <c r="L594" s="4">
        <v>4</v>
      </c>
      <c r="M594" s="14">
        <f>169.3*(1-P3/100)</f>
        <v>169.3</v>
      </c>
      <c r="N594" s="15"/>
      <c r="O594" s="13">
        <f t="shared" si="18"/>
        <v>0</v>
      </c>
      <c r="P594" s="13">
        <v>0</v>
      </c>
      <c r="Q594" s="13">
        <v>0</v>
      </c>
      <c r="R594" s="24"/>
      <c r="S594" s="25" t="s">
        <v>2509</v>
      </c>
      <c r="T594" s="25" t="s">
        <v>94</v>
      </c>
      <c r="U594" s="5"/>
      <c r="V594" s="5"/>
      <c r="W594" s="5" t="s">
        <v>46</v>
      </c>
      <c r="X594" s="5" t="s">
        <v>2454</v>
      </c>
      <c r="Y594" s="5"/>
      <c r="Z594" s="5" t="str">
        <f>HYPERLINK("https://knigipp.ru/api/getInfo/image/64f5faa1-9b3f-11ee-a256-00155d82e908")</f>
        <v>https://knigipp.ru/api/getInfo/image/64f5faa1-9b3f-11ee-a256-00155d82e908</v>
      </c>
      <c r="AA594" s="33">
        <v>128</v>
      </c>
      <c r="AB594" s="5" t="s">
        <v>598</v>
      </c>
      <c r="AC594" s="5" t="s">
        <v>86</v>
      </c>
      <c r="AD594" s="33">
        <v>100</v>
      </c>
      <c r="AE594" s="5" t="s">
        <v>49</v>
      </c>
      <c r="AF594" s="5"/>
      <c r="AG594" s="5"/>
      <c r="AH594" s="5" t="s">
        <v>2444</v>
      </c>
    </row>
    <row r="595" spans="2:34" ht="21" customHeight="1" outlineLevel="4" x14ac:dyDescent="0.2">
      <c r="B595" s="4">
        <v>442</v>
      </c>
      <c r="C595" s="5" t="s">
        <v>2510</v>
      </c>
      <c r="D595" s="5" t="s">
        <v>2511</v>
      </c>
      <c r="E595" s="6" t="s">
        <v>2512</v>
      </c>
      <c r="F595" s="10"/>
      <c r="G595" s="11" t="s">
        <v>2473</v>
      </c>
      <c r="H595" s="12">
        <v>20</v>
      </c>
      <c r="I595" s="13" t="s">
        <v>41</v>
      </c>
      <c r="J595" s="13"/>
      <c r="K595" s="13"/>
      <c r="L595" s="4">
        <v>4</v>
      </c>
      <c r="M595" s="14">
        <f>169.3*(1-P3/100)</f>
        <v>169.3</v>
      </c>
      <c r="N595" s="15"/>
      <c r="O595" s="13">
        <f t="shared" si="18"/>
        <v>0</v>
      </c>
      <c r="P595" s="13">
        <v>0</v>
      </c>
      <c r="Q595" s="13">
        <v>0</v>
      </c>
      <c r="R595" s="24"/>
      <c r="S595" s="25" t="s">
        <v>2513</v>
      </c>
      <c r="T595" s="25" t="s">
        <v>94</v>
      </c>
      <c r="U595" s="5"/>
      <c r="V595" s="5" t="s">
        <v>2514</v>
      </c>
      <c r="W595" s="5" t="s">
        <v>46</v>
      </c>
      <c r="X595" s="5" t="s">
        <v>2465</v>
      </c>
      <c r="Y595" s="5"/>
      <c r="Z595" s="5" t="str">
        <f>HYPERLINK("https://knigipp.ru/api/getInfo/image/b9fe50d0-d174-11ee-a25a-00155d82e908")</f>
        <v>https://knigipp.ru/api/getInfo/image/b9fe50d0-d174-11ee-a25a-00155d82e908</v>
      </c>
      <c r="AA595" s="33">
        <v>128</v>
      </c>
      <c r="AB595" s="5" t="s">
        <v>598</v>
      </c>
      <c r="AC595" s="5" t="s">
        <v>86</v>
      </c>
      <c r="AD595" s="33">
        <v>100</v>
      </c>
      <c r="AE595" s="5" t="s">
        <v>49</v>
      </c>
      <c r="AF595" s="5"/>
      <c r="AG595" s="5"/>
      <c r="AH595" s="5" t="s">
        <v>2444</v>
      </c>
    </row>
    <row r="596" spans="2:34" ht="21" customHeight="1" outlineLevel="4" x14ac:dyDescent="0.2">
      <c r="B596" s="4">
        <v>443</v>
      </c>
      <c r="C596" s="5" t="s">
        <v>2515</v>
      </c>
      <c r="D596" s="5" t="s">
        <v>2516</v>
      </c>
      <c r="E596" s="6" t="s">
        <v>2517</v>
      </c>
      <c r="F596" s="10"/>
      <c r="G596" s="11" t="s">
        <v>2442</v>
      </c>
      <c r="H596" s="12">
        <v>20</v>
      </c>
      <c r="I596" s="13" t="s">
        <v>41</v>
      </c>
      <c r="J596" s="13"/>
      <c r="K596" s="13"/>
      <c r="L596" s="4">
        <v>4</v>
      </c>
      <c r="M596" s="14">
        <f>169.3*(1-P3/100)</f>
        <v>169.3</v>
      </c>
      <c r="N596" s="15"/>
      <c r="O596" s="13">
        <f t="shared" si="18"/>
        <v>0</v>
      </c>
      <c r="P596" s="13">
        <v>0</v>
      </c>
      <c r="Q596" s="13">
        <v>0</v>
      </c>
      <c r="R596" s="24"/>
      <c r="S596" s="25" t="s">
        <v>2518</v>
      </c>
      <c r="T596" s="25" t="s">
        <v>94</v>
      </c>
      <c r="U596" s="5"/>
      <c r="V596" s="5"/>
      <c r="W596" s="5" t="s">
        <v>46</v>
      </c>
      <c r="X596" s="5" t="s">
        <v>2519</v>
      </c>
      <c r="Y596" s="5"/>
      <c r="Z596" s="5" t="str">
        <f>HYPERLINK("https://knigipp.ru/api/getInfo/image/38687f8d-1f1e-11ee-a23c-00155d82e902")</f>
        <v>https://knigipp.ru/api/getInfo/image/38687f8d-1f1e-11ee-a23c-00155d82e902</v>
      </c>
      <c r="AA596" s="33">
        <v>128</v>
      </c>
      <c r="AB596" s="5"/>
      <c r="AC596" s="5" t="s">
        <v>86</v>
      </c>
      <c r="AD596" s="33">
        <v>100</v>
      </c>
      <c r="AE596" s="5" t="s">
        <v>49</v>
      </c>
      <c r="AF596" s="5"/>
      <c r="AG596" s="5"/>
      <c r="AH596" s="5" t="s">
        <v>2444</v>
      </c>
    </row>
    <row r="597" spans="2:34" ht="22.95" customHeight="1" outlineLevel="3" x14ac:dyDescent="0.2">
      <c r="B597" s="74" t="s">
        <v>2520</v>
      </c>
      <c r="C597" s="74"/>
      <c r="D597" s="74"/>
    </row>
    <row r="598" spans="2:34" ht="21" customHeight="1" outlineLevel="4" x14ac:dyDescent="0.2">
      <c r="B598" s="4">
        <v>444</v>
      </c>
      <c r="C598" s="5" t="s">
        <v>2521</v>
      </c>
      <c r="D598" s="5" t="s">
        <v>2522</v>
      </c>
      <c r="E598" s="6" t="s">
        <v>2523</v>
      </c>
      <c r="F598" s="10"/>
      <c r="G598" s="11" t="s">
        <v>2524</v>
      </c>
      <c r="H598" s="12">
        <v>10</v>
      </c>
      <c r="I598" s="13" t="s">
        <v>41</v>
      </c>
      <c r="J598" s="13"/>
      <c r="K598" s="13"/>
      <c r="L598" s="4">
        <v>3</v>
      </c>
      <c r="M598" s="14">
        <f>249*(1-P3/100)</f>
        <v>249</v>
      </c>
      <c r="N598" s="15"/>
      <c r="O598" s="13">
        <f t="shared" ref="O598:O603" si="19">M598*N598</f>
        <v>0</v>
      </c>
      <c r="P598" s="13">
        <v>0</v>
      </c>
      <c r="Q598" s="13">
        <v>0</v>
      </c>
      <c r="R598" s="24"/>
      <c r="S598" s="25" t="s">
        <v>2525</v>
      </c>
      <c r="T598" s="25" t="s">
        <v>94</v>
      </c>
      <c r="U598" s="5"/>
      <c r="V598" s="5"/>
      <c r="W598" s="5" t="s">
        <v>46</v>
      </c>
      <c r="X598" s="5"/>
      <c r="Y598" s="5"/>
      <c r="Z598" s="5" t="str">
        <f>HYPERLINK("https://knigipp.ru/api/getInfo/image/ff405aeb-02a3-11ed-a213-ac1f6b442185")</f>
        <v>https://knigipp.ru/api/getInfo/image/ff405aeb-02a3-11ed-a213-ac1f6b442185</v>
      </c>
      <c r="AA598" s="33">
        <v>128</v>
      </c>
      <c r="AB598" s="5"/>
      <c r="AC598" s="5" t="s">
        <v>86</v>
      </c>
      <c r="AD598" s="5"/>
      <c r="AE598" s="5" t="s">
        <v>49</v>
      </c>
      <c r="AF598" s="5"/>
      <c r="AG598" s="5"/>
      <c r="AH598" s="5" t="s">
        <v>2526</v>
      </c>
    </row>
    <row r="599" spans="2:34" ht="21" customHeight="1" outlineLevel="4" x14ac:dyDescent="0.2">
      <c r="B599" s="4">
        <v>445</v>
      </c>
      <c r="C599" s="5" t="s">
        <v>2527</v>
      </c>
      <c r="D599" s="5" t="s">
        <v>2528</v>
      </c>
      <c r="E599" s="6" t="s">
        <v>2529</v>
      </c>
      <c r="F599" s="10"/>
      <c r="G599" s="11" t="s">
        <v>2530</v>
      </c>
      <c r="H599" s="12">
        <v>10</v>
      </c>
      <c r="I599" s="13" t="s">
        <v>41</v>
      </c>
      <c r="J599" s="13"/>
      <c r="K599" s="13"/>
      <c r="L599" s="4">
        <v>3</v>
      </c>
      <c r="M599" s="14">
        <f>249*(1-P3/100)</f>
        <v>249</v>
      </c>
      <c r="N599" s="15"/>
      <c r="O599" s="13">
        <f t="shared" si="19"/>
        <v>0</v>
      </c>
      <c r="P599" s="22">
        <f>0.314*N599</f>
        <v>0</v>
      </c>
      <c r="Q599" s="23">
        <f>0.00046*N599</f>
        <v>0</v>
      </c>
      <c r="R599" s="24"/>
      <c r="S599" s="25" t="s">
        <v>2531</v>
      </c>
      <c r="T599" s="25" t="s">
        <v>94</v>
      </c>
      <c r="U599" s="5"/>
      <c r="V599" s="5" t="s">
        <v>2532</v>
      </c>
      <c r="W599" s="5" t="s">
        <v>46</v>
      </c>
      <c r="X599" s="5" t="s">
        <v>2533</v>
      </c>
      <c r="Y599" s="5"/>
      <c r="Z599" s="5" t="str">
        <f>HYPERLINK("https://knigipp.ru/api/getInfo/image/7c360b1f-66a0-11ee-a245-00155d82e902")</f>
        <v>https://knigipp.ru/api/getInfo/image/7c360b1f-66a0-11ee-a245-00155d82e902</v>
      </c>
      <c r="AA599" s="33">
        <v>128</v>
      </c>
      <c r="AB599" s="5" t="s">
        <v>598</v>
      </c>
      <c r="AC599" s="5" t="s">
        <v>86</v>
      </c>
      <c r="AD599" s="5"/>
      <c r="AE599" s="5" t="s">
        <v>49</v>
      </c>
      <c r="AF599" s="5"/>
      <c r="AG599" s="5"/>
      <c r="AH599" s="5" t="s">
        <v>2534</v>
      </c>
    </row>
    <row r="600" spans="2:34" ht="21" customHeight="1" outlineLevel="4" x14ac:dyDescent="0.2">
      <c r="B600" s="4">
        <v>446</v>
      </c>
      <c r="C600" s="5" t="s">
        <v>2535</v>
      </c>
      <c r="D600" s="5" t="s">
        <v>2536</v>
      </c>
      <c r="E600" s="6" t="s">
        <v>2537</v>
      </c>
      <c r="F600" s="10"/>
      <c r="G600" s="11" t="s">
        <v>2524</v>
      </c>
      <c r="H600" s="12">
        <v>10</v>
      </c>
      <c r="I600" s="13" t="s">
        <v>41</v>
      </c>
      <c r="J600" s="13"/>
      <c r="K600" s="13"/>
      <c r="L600" s="4">
        <v>3</v>
      </c>
      <c r="M600" s="14">
        <f>249*(1-P3/100)</f>
        <v>249</v>
      </c>
      <c r="N600" s="15"/>
      <c r="O600" s="13">
        <f t="shared" si="19"/>
        <v>0</v>
      </c>
      <c r="P600" s="13">
        <v>0</v>
      </c>
      <c r="Q600" s="13">
        <v>0</v>
      </c>
      <c r="R600" s="24"/>
      <c r="S600" s="25" t="s">
        <v>2538</v>
      </c>
      <c r="T600" s="25" t="s">
        <v>94</v>
      </c>
      <c r="U600" s="5"/>
      <c r="V600" s="5" t="s">
        <v>2539</v>
      </c>
      <c r="W600" s="5" t="s">
        <v>46</v>
      </c>
      <c r="X600" s="5"/>
      <c r="Y600" s="5"/>
      <c r="Z600" s="5" t="str">
        <f>HYPERLINK("https://knigipp.ru/api/getInfo/image/0da15483-02a5-11ed-a213-ac1f6b442185")</f>
        <v>https://knigipp.ru/api/getInfo/image/0da15483-02a5-11ed-a213-ac1f6b442185</v>
      </c>
      <c r="AA600" s="33">
        <v>128</v>
      </c>
      <c r="AB600" s="5"/>
      <c r="AC600" s="5" t="s">
        <v>86</v>
      </c>
      <c r="AD600" s="5"/>
      <c r="AE600" s="5" t="s">
        <v>49</v>
      </c>
      <c r="AF600" s="5"/>
      <c r="AG600" s="5"/>
      <c r="AH600" s="5" t="s">
        <v>2526</v>
      </c>
    </row>
    <row r="601" spans="2:34" ht="21" customHeight="1" outlineLevel="4" x14ac:dyDescent="0.2">
      <c r="B601" s="4">
        <v>447</v>
      </c>
      <c r="C601" s="5" t="s">
        <v>2540</v>
      </c>
      <c r="D601" s="5" t="s">
        <v>2541</v>
      </c>
      <c r="E601" s="6" t="s">
        <v>2542</v>
      </c>
      <c r="F601" s="10"/>
      <c r="G601" s="11" t="s">
        <v>2524</v>
      </c>
      <c r="H601" s="12">
        <v>10</v>
      </c>
      <c r="I601" s="13" t="s">
        <v>41</v>
      </c>
      <c r="J601" s="13"/>
      <c r="K601" s="13"/>
      <c r="L601" s="4">
        <v>3</v>
      </c>
      <c r="M601" s="14">
        <f>249*(1-P3/100)</f>
        <v>249</v>
      </c>
      <c r="N601" s="15"/>
      <c r="O601" s="13">
        <f t="shared" si="19"/>
        <v>0</v>
      </c>
      <c r="P601" s="13">
        <v>0</v>
      </c>
      <c r="Q601" s="13">
        <v>0</v>
      </c>
      <c r="R601" s="24"/>
      <c r="S601" s="25" t="s">
        <v>2543</v>
      </c>
      <c r="T601" s="25" t="s">
        <v>94</v>
      </c>
      <c r="U601" s="5"/>
      <c r="V601" s="5"/>
      <c r="W601" s="5" t="s">
        <v>46</v>
      </c>
      <c r="X601" s="5"/>
      <c r="Y601" s="5"/>
      <c r="Z601" s="5" t="str">
        <f>HYPERLINK("https://knigipp.ru/api/getInfo/image/b86ba18c-2ab2-11ed-a216-ac1f6b442185")</f>
        <v>https://knigipp.ru/api/getInfo/image/b86ba18c-2ab2-11ed-a216-ac1f6b442185</v>
      </c>
      <c r="AA601" s="33">
        <v>128</v>
      </c>
      <c r="AB601" s="5"/>
      <c r="AC601" s="5" t="s">
        <v>86</v>
      </c>
      <c r="AD601" s="5"/>
      <c r="AE601" s="5" t="s">
        <v>49</v>
      </c>
      <c r="AF601" s="5"/>
      <c r="AG601" s="5"/>
      <c r="AH601" s="5" t="s">
        <v>2526</v>
      </c>
    </row>
    <row r="602" spans="2:34" ht="21" customHeight="1" outlineLevel="4" x14ac:dyDescent="0.2">
      <c r="B602" s="4">
        <v>448</v>
      </c>
      <c r="C602" s="5" t="s">
        <v>2544</v>
      </c>
      <c r="D602" s="5" t="s">
        <v>2545</v>
      </c>
      <c r="E602" s="6" t="s">
        <v>2546</v>
      </c>
      <c r="F602" s="10"/>
      <c r="G602" s="11" t="s">
        <v>2524</v>
      </c>
      <c r="H602" s="12">
        <v>10</v>
      </c>
      <c r="I602" s="13" t="s">
        <v>41</v>
      </c>
      <c r="J602" s="13"/>
      <c r="K602" s="13"/>
      <c r="L602" s="4">
        <v>3</v>
      </c>
      <c r="M602" s="14">
        <f>249*(1-P3/100)</f>
        <v>249</v>
      </c>
      <c r="N602" s="15"/>
      <c r="O602" s="13">
        <f t="shared" si="19"/>
        <v>0</v>
      </c>
      <c r="P602" s="13">
        <v>0</v>
      </c>
      <c r="Q602" s="13">
        <v>0</v>
      </c>
      <c r="R602" s="24"/>
      <c r="S602" s="25" t="s">
        <v>2547</v>
      </c>
      <c r="T602" s="25" t="s">
        <v>94</v>
      </c>
      <c r="U602" s="5"/>
      <c r="V602" s="5"/>
      <c r="W602" s="5" t="s">
        <v>46</v>
      </c>
      <c r="X602" s="5"/>
      <c r="Y602" s="5"/>
      <c r="Z602" s="5" t="str">
        <f>HYPERLINK("https://knigipp.ru/api/getInfo/image/4ec07344-2ab2-11ed-a216-ac1f6b442185")</f>
        <v>https://knigipp.ru/api/getInfo/image/4ec07344-2ab2-11ed-a216-ac1f6b442185</v>
      </c>
      <c r="AA602" s="33">
        <v>128</v>
      </c>
      <c r="AB602" s="5"/>
      <c r="AC602" s="5" t="s">
        <v>86</v>
      </c>
      <c r="AD602" s="5"/>
      <c r="AE602" s="5" t="s">
        <v>49</v>
      </c>
      <c r="AF602" s="5"/>
      <c r="AG602" s="5"/>
      <c r="AH602" s="5" t="s">
        <v>2526</v>
      </c>
    </row>
    <row r="603" spans="2:34" ht="21" customHeight="1" outlineLevel="4" x14ac:dyDescent="0.2">
      <c r="B603" s="4">
        <v>449</v>
      </c>
      <c r="C603" s="5" t="s">
        <v>2548</v>
      </c>
      <c r="D603" s="5" t="s">
        <v>2549</v>
      </c>
      <c r="E603" s="6" t="s">
        <v>2550</v>
      </c>
      <c r="F603" s="10"/>
      <c r="G603" s="11" t="s">
        <v>2530</v>
      </c>
      <c r="H603" s="12">
        <v>10</v>
      </c>
      <c r="I603" s="13" t="s">
        <v>41</v>
      </c>
      <c r="J603" s="13"/>
      <c r="K603" s="13"/>
      <c r="L603" s="4">
        <v>3</v>
      </c>
      <c r="M603" s="14">
        <f>249*(1-P3/100)</f>
        <v>249</v>
      </c>
      <c r="N603" s="15"/>
      <c r="O603" s="13">
        <f t="shared" si="19"/>
        <v>0</v>
      </c>
      <c r="P603" s="13">
        <v>0</v>
      </c>
      <c r="Q603" s="13">
        <v>0</v>
      </c>
      <c r="R603" s="24"/>
      <c r="S603" s="25" t="s">
        <v>2551</v>
      </c>
      <c r="T603" s="25" t="s">
        <v>94</v>
      </c>
      <c r="U603" s="5"/>
      <c r="V603" s="5" t="s">
        <v>2552</v>
      </c>
      <c r="W603" s="5" t="s">
        <v>46</v>
      </c>
      <c r="X603" s="5" t="s">
        <v>2533</v>
      </c>
      <c r="Y603" s="5"/>
      <c r="Z603" s="5" t="str">
        <f>HYPERLINK("https://knigipp.ru/api/getInfo/image/242f79e0-66a1-11ee-a245-00155d82e902")</f>
        <v>https://knigipp.ru/api/getInfo/image/242f79e0-66a1-11ee-a245-00155d82e902</v>
      </c>
      <c r="AA603" s="33">
        <v>128</v>
      </c>
      <c r="AB603" s="5" t="s">
        <v>598</v>
      </c>
      <c r="AC603" s="5" t="s">
        <v>86</v>
      </c>
      <c r="AD603" s="5"/>
      <c r="AE603" s="5" t="s">
        <v>49</v>
      </c>
      <c r="AF603" s="5"/>
      <c r="AG603" s="5"/>
      <c r="AH603" s="5" t="s">
        <v>2534</v>
      </c>
    </row>
    <row r="604" spans="2:34" ht="22.95" customHeight="1" outlineLevel="2" x14ac:dyDescent="0.2">
      <c r="B604" s="73" t="s">
        <v>2553</v>
      </c>
      <c r="C604" s="73"/>
      <c r="D604" s="73"/>
    </row>
    <row r="605" spans="2:34" ht="22.95" customHeight="1" outlineLevel="3" x14ac:dyDescent="0.2">
      <c r="B605" s="74" t="s">
        <v>2554</v>
      </c>
      <c r="C605" s="74"/>
      <c r="D605" s="74"/>
    </row>
    <row r="606" spans="2:34" ht="21" customHeight="1" outlineLevel="4" x14ac:dyDescent="0.2">
      <c r="B606" s="4">
        <v>450</v>
      </c>
      <c r="C606" s="5" t="s">
        <v>2555</v>
      </c>
      <c r="D606" s="5" t="s">
        <v>2556</v>
      </c>
      <c r="E606" s="6" t="s">
        <v>2557</v>
      </c>
      <c r="F606" s="10"/>
      <c r="G606" s="11" t="s">
        <v>2558</v>
      </c>
      <c r="H606" s="12">
        <v>12</v>
      </c>
      <c r="I606" s="13" t="s">
        <v>41</v>
      </c>
      <c r="J606" s="13"/>
      <c r="K606" s="13"/>
      <c r="L606" s="4">
        <v>2</v>
      </c>
      <c r="M606" s="14">
        <f>299*(1-P3/100)</f>
        <v>299</v>
      </c>
      <c r="N606" s="15"/>
      <c r="O606" s="13">
        <f>M606*N606</f>
        <v>0</v>
      </c>
      <c r="P606" s="22">
        <f>4.527*N606</f>
        <v>0</v>
      </c>
      <c r="Q606" s="23">
        <f>0.04438*N606</f>
        <v>0</v>
      </c>
      <c r="R606" s="24"/>
      <c r="S606" s="25" t="s">
        <v>2559</v>
      </c>
      <c r="T606" s="25" t="s">
        <v>43</v>
      </c>
      <c r="U606" s="5"/>
      <c r="V606" s="5"/>
      <c r="W606" s="5" t="s">
        <v>46</v>
      </c>
      <c r="X606" s="5" t="s">
        <v>2560</v>
      </c>
      <c r="Y606" s="5"/>
      <c r="Z606" s="5" t="str">
        <f>HYPERLINK("https://knigipp.ru/api/getInfo/image/b6008dac-cc08-11e2-b085-003048670413")</f>
        <v>https://knigipp.ru/api/getInfo/image/b6008dac-cc08-11e2-b085-003048670413</v>
      </c>
      <c r="AA606" s="33">
        <v>32</v>
      </c>
      <c r="AB606" s="5"/>
      <c r="AC606" s="5" t="s">
        <v>86</v>
      </c>
      <c r="AD606" s="5"/>
      <c r="AE606" s="5" t="s">
        <v>49</v>
      </c>
      <c r="AF606" s="5"/>
      <c r="AG606" s="5" t="s">
        <v>2561</v>
      </c>
      <c r="AH606" s="5" t="s">
        <v>2562</v>
      </c>
    </row>
    <row r="607" spans="2:34" ht="21" customHeight="1" outlineLevel="4" x14ac:dyDescent="0.2">
      <c r="B607" s="4">
        <v>451</v>
      </c>
      <c r="C607" s="5" t="s">
        <v>2563</v>
      </c>
      <c r="D607" s="5" t="s">
        <v>2564</v>
      </c>
      <c r="E607" s="6" t="s">
        <v>2565</v>
      </c>
      <c r="F607" s="10"/>
      <c r="G607" s="11" t="s">
        <v>2558</v>
      </c>
      <c r="H607" s="12">
        <v>12</v>
      </c>
      <c r="I607" s="13" t="s">
        <v>41</v>
      </c>
      <c r="J607" s="13"/>
      <c r="K607" s="13"/>
      <c r="L607" s="4">
        <v>2</v>
      </c>
      <c r="M607" s="14">
        <f>299*(1-P3/100)</f>
        <v>299</v>
      </c>
      <c r="N607" s="15"/>
      <c r="O607" s="13">
        <f>M607*N607</f>
        <v>0</v>
      </c>
      <c r="P607" s="32">
        <f>0.27*N607</f>
        <v>0</v>
      </c>
      <c r="Q607" s="23">
        <f>0.00052*N607</f>
        <v>0</v>
      </c>
      <c r="R607" s="24"/>
      <c r="S607" s="25" t="s">
        <v>2566</v>
      </c>
      <c r="T607" s="25" t="s">
        <v>43</v>
      </c>
      <c r="U607" s="5"/>
      <c r="V607" s="5"/>
      <c r="W607" s="5" t="s">
        <v>46</v>
      </c>
      <c r="X607" s="5" t="s">
        <v>2560</v>
      </c>
      <c r="Y607" s="5"/>
      <c r="Z607" s="5" t="str">
        <f>HYPERLINK("https://knigipp.ru/api/getInfo/image/717d426c-cd9a-11e2-b085-003048670413")</f>
        <v>https://knigipp.ru/api/getInfo/image/717d426c-cd9a-11e2-b085-003048670413</v>
      </c>
      <c r="AA607" s="33">
        <v>32</v>
      </c>
      <c r="AB607" s="5"/>
      <c r="AC607" s="5" t="s">
        <v>86</v>
      </c>
      <c r="AD607" s="5"/>
      <c r="AE607" s="5" t="s">
        <v>49</v>
      </c>
      <c r="AF607" s="5"/>
      <c r="AG607" s="5" t="s">
        <v>2561</v>
      </c>
      <c r="AH607" s="5" t="s">
        <v>2562</v>
      </c>
    </row>
    <row r="608" spans="2:34" ht="22.95" customHeight="1" outlineLevel="3" x14ac:dyDescent="0.2">
      <c r="B608" s="74" t="s">
        <v>2567</v>
      </c>
      <c r="C608" s="74"/>
      <c r="D608" s="74"/>
    </row>
    <row r="609" spans="2:34" ht="21" customHeight="1" outlineLevel="4" x14ac:dyDescent="0.2">
      <c r="B609" s="4">
        <v>452</v>
      </c>
      <c r="C609" s="5" t="s">
        <v>2568</v>
      </c>
      <c r="D609" s="5" t="s">
        <v>2569</v>
      </c>
      <c r="E609" s="6" t="s">
        <v>2570</v>
      </c>
      <c r="F609" s="10"/>
      <c r="G609" s="11" t="s">
        <v>2571</v>
      </c>
      <c r="H609" s="12">
        <v>12</v>
      </c>
      <c r="I609" s="13" t="s">
        <v>41</v>
      </c>
      <c r="J609" s="13"/>
      <c r="K609" s="13"/>
      <c r="L609" s="4">
        <v>2</v>
      </c>
      <c r="M609" s="14">
        <f>349*(1-P3/100)</f>
        <v>349</v>
      </c>
      <c r="N609" s="15"/>
      <c r="O609" s="13">
        <f>M609*N609</f>
        <v>0</v>
      </c>
      <c r="P609" s="22">
        <f>0.292*N609</f>
        <v>0</v>
      </c>
      <c r="Q609" s="23">
        <f>0.00079*N609</f>
        <v>0</v>
      </c>
      <c r="R609" s="24"/>
      <c r="S609" s="25" t="s">
        <v>2572</v>
      </c>
      <c r="T609" s="25" t="s">
        <v>43</v>
      </c>
      <c r="U609" s="5"/>
      <c r="V609" s="5" t="s">
        <v>2573</v>
      </c>
      <c r="W609" s="5" t="s">
        <v>46</v>
      </c>
      <c r="X609" s="5"/>
      <c r="Y609" s="5"/>
      <c r="Z609" s="5" t="str">
        <f>HYPERLINK("https://knigipp.ru/api/getInfo/image/3bd9a3a1-f21f-11ec-a213-ac1f6b442185")</f>
        <v>https://knigipp.ru/api/getInfo/image/3bd9a3a1-f21f-11ec-a213-ac1f6b442185</v>
      </c>
      <c r="AA609" s="33">
        <v>32</v>
      </c>
      <c r="AB609" s="5"/>
      <c r="AC609" s="5" t="s">
        <v>86</v>
      </c>
      <c r="AD609" s="5"/>
      <c r="AE609" s="5" t="s">
        <v>49</v>
      </c>
      <c r="AF609" s="5"/>
      <c r="AG609" s="5"/>
      <c r="AH609" s="5" t="s">
        <v>2574</v>
      </c>
    </row>
    <row r="610" spans="2:34" ht="21" customHeight="1" outlineLevel="4" x14ac:dyDescent="0.2">
      <c r="B610" s="4">
        <v>453</v>
      </c>
      <c r="C610" s="5" t="s">
        <v>2575</v>
      </c>
      <c r="D610" s="5" t="s">
        <v>2576</v>
      </c>
      <c r="E610" s="6" t="s">
        <v>2577</v>
      </c>
      <c r="F610" s="10"/>
      <c r="G610" s="11" t="s">
        <v>2571</v>
      </c>
      <c r="H610" s="12">
        <v>12</v>
      </c>
      <c r="I610" s="13" t="s">
        <v>371</v>
      </c>
      <c r="J610" s="13"/>
      <c r="K610" s="13"/>
      <c r="L610" s="4">
        <v>2</v>
      </c>
      <c r="M610" s="14">
        <f>349*(1-P3/100)</f>
        <v>349</v>
      </c>
      <c r="N610" s="15"/>
      <c r="O610" s="13">
        <f>M610*N610</f>
        <v>0</v>
      </c>
      <c r="P610" s="22">
        <f>0.281*N610</f>
        <v>0</v>
      </c>
      <c r="Q610" s="23">
        <f>0.00045*N610</f>
        <v>0</v>
      </c>
      <c r="R610" s="24"/>
      <c r="S610" s="25" t="s">
        <v>2578</v>
      </c>
      <c r="T610" s="25" t="s">
        <v>43</v>
      </c>
      <c r="U610" s="5"/>
      <c r="V610" s="5" t="s">
        <v>2579</v>
      </c>
      <c r="W610" s="5" t="s">
        <v>46</v>
      </c>
      <c r="X610" s="5"/>
      <c r="Y610" s="5"/>
      <c r="Z610" s="5" t="str">
        <f>HYPERLINK("https://knigipp.ru/api/getInfo/image/0a93170c-f221-11ec-a213-ac1f6b442185")</f>
        <v>https://knigipp.ru/api/getInfo/image/0a93170c-f221-11ec-a213-ac1f6b442185</v>
      </c>
      <c r="AA610" s="33">
        <v>32</v>
      </c>
      <c r="AB610" s="5"/>
      <c r="AC610" s="5" t="s">
        <v>86</v>
      </c>
      <c r="AD610" s="5"/>
      <c r="AE610" s="5" t="s">
        <v>49</v>
      </c>
      <c r="AF610" s="5"/>
      <c r="AG610" s="5"/>
      <c r="AH610" s="5" t="s">
        <v>2574</v>
      </c>
    </row>
    <row r="611" spans="2:34" ht="22.95" customHeight="1" outlineLevel="3" x14ac:dyDescent="0.2">
      <c r="B611" s="74" t="s">
        <v>2580</v>
      </c>
      <c r="C611" s="74"/>
      <c r="D611" s="74"/>
    </row>
    <row r="612" spans="2:34" ht="21" customHeight="1" outlineLevel="4" x14ac:dyDescent="0.2">
      <c r="B612" s="4">
        <v>454</v>
      </c>
      <c r="C612" s="5" t="s">
        <v>2581</v>
      </c>
      <c r="D612" s="5" t="s">
        <v>2582</v>
      </c>
      <c r="E612" s="6" t="s">
        <v>2583</v>
      </c>
      <c r="F612" s="10"/>
      <c r="G612" s="11" t="s">
        <v>2584</v>
      </c>
      <c r="H612" s="12">
        <v>10</v>
      </c>
      <c r="I612" s="13" t="s">
        <v>41</v>
      </c>
      <c r="J612" s="13"/>
      <c r="K612" s="13"/>
      <c r="L612" s="4">
        <v>2</v>
      </c>
      <c r="M612" s="14">
        <f>447*(1-P3/100)</f>
        <v>447</v>
      </c>
      <c r="N612" s="15"/>
      <c r="O612" s="13">
        <f>M612*N612</f>
        <v>0</v>
      </c>
      <c r="P612" s="22">
        <f>0.278*N612</f>
        <v>0</v>
      </c>
      <c r="Q612" s="23">
        <f>0.00072*N612</f>
        <v>0</v>
      </c>
      <c r="R612" s="24"/>
      <c r="S612" s="25" t="s">
        <v>2585</v>
      </c>
      <c r="T612" s="25" t="s">
        <v>94</v>
      </c>
      <c r="U612" s="5"/>
      <c r="V612" s="5" t="s">
        <v>2586</v>
      </c>
      <c r="W612" s="5" t="s">
        <v>46</v>
      </c>
      <c r="X612" s="5"/>
      <c r="Y612" s="5"/>
      <c r="Z612" s="5" t="str">
        <f>HYPERLINK("https://knigipp.ru/api/getInfo/image/64be800a-78b0-11ee-a248-00155d82e902")</f>
        <v>https://knigipp.ru/api/getInfo/image/64be800a-78b0-11ee-a248-00155d82e902</v>
      </c>
      <c r="AA612" s="33">
        <v>32</v>
      </c>
      <c r="AB612" s="5" t="s">
        <v>598</v>
      </c>
      <c r="AC612" s="5" t="s">
        <v>86</v>
      </c>
      <c r="AD612" s="5"/>
      <c r="AE612" s="5" t="s">
        <v>49</v>
      </c>
      <c r="AF612" s="5"/>
      <c r="AG612" s="5"/>
      <c r="AH612" s="5" t="s">
        <v>2587</v>
      </c>
    </row>
    <row r="613" spans="2:34" ht="22.95" customHeight="1" outlineLevel="3" x14ac:dyDescent="0.2">
      <c r="B613" s="74" t="s">
        <v>2588</v>
      </c>
      <c r="C613" s="74"/>
      <c r="D613" s="74"/>
    </row>
    <row r="614" spans="2:34" ht="21" customHeight="1" outlineLevel="4" x14ac:dyDescent="0.2">
      <c r="B614" s="4">
        <v>455</v>
      </c>
      <c r="C614" s="5" t="s">
        <v>2589</v>
      </c>
      <c r="D614" s="5" t="s">
        <v>2590</v>
      </c>
      <c r="E614" s="6" t="s">
        <v>2591</v>
      </c>
      <c r="F614" s="10"/>
      <c r="G614" s="11" t="s">
        <v>2592</v>
      </c>
      <c r="H614" s="12">
        <v>10</v>
      </c>
      <c r="I614" s="13" t="s">
        <v>41</v>
      </c>
      <c r="J614" s="13"/>
      <c r="K614" s="13"/>
      <c r="L614" s="4">
        <v>2</v>
      </c>
      <c r="M614" s="14">
        <f>449*(1-P3/100)</f>
        <v>449</v>
      </c>
      <c r="N614" s="15"/>
      <c r="O614" s="13">
        <f>M614*N614</f>
        <v>0</v>
      </c>
      <c r="P614" s="22">
        <f>0.381*N614</f>
        <v>0</v>
      </c>
      <c r="Q614" s="23">
        <f>0.00082*N614</f>
        <v>0</v>
      </c>
      <c r="R614" s="24"/>
      <c r="S614" s="25" t="s">
        <v>2593</v>
      </c>
      <c r="T614" s="25" t="s">
        <v>43</v>
      </c>
      <c r="U614" s="5"/>
      <c r="V614" s="5"/>
      <c r="W614" s="5" t="s">
        <v>46</v>
      </c>
      <c r="X614" s="5"/>
      <c r="Y614" s="5"/>
      <c r="Z614" s="5" t="str">
        <f>HYPERLINK("https://knigipp.ru/api/getInfo/image/23ed4ec1-3b17-11ec-a20f-ac1f6b442185")</f>
        <v>https://knigipp.ru/api/getInfo/image/23ed4ec1-3b17-11ec-a20f-ac1f6b442185</v>
      </c>
      <c r="AA614" s="33">
        <v>48</v>
      </c>
      <c r="AB614" s="5"/>
      <c r="AC614" s="5" t="s">
        <v>86</v>
      </c>
      <c r="AD614" s="5"/>
      <c r="AE614" s="5" t="s">
        <v>49</v>
      </c>
      <c r="AF614" s="5"/>
      <c r="AG614" s="5"/>
      <c r="AH614" s="5" t="s">
        <v>2594</v>
      </c>
    </row>
    <row r="615" spans="2:34" ht="21" customHeight="1" outlineLevel="4" x14ac:dyDescent="0.2">
      <c r="B615" s="4">
        <v>456</v>
      </c>
      <c r="C615" s="5" t="s">
        <v>2595</v>
      </c>
      <c r="D615" s="5" t="s">
        <v>2596</v>
      </c>
      <c r="E615" s="6" t="s">
        <v>2597</v>
      </c>
      <c r="F615" s="10"/>
      <c r="G615" s="11" t="s">
        <v>2592</v>
      </c>
      <c r="H615" s="12">
        <v>10</v>
      </c>
      <c r="I615" s="13" t="s">
        <v>41</v>
      </c>
      <c r="J615" s="13"/>
      <c r="K615" s="13"/>
      <c r="L615" s="4">
        <v>1</v>
      </c>
      <c r="M615" s="14">
        <f>547*(1-P3/100)</f>
        <v>547</v>
      </c>
      <c r="N615" s="15"/>
      <c r="O615" s="13">
        <f>M615*N615</f>
        <v>0</v>
      </c>
      <c r="P615" s="22">
        <f>0.395*N615</f>
        <v>0</v>
      </c>
      <c r="Q615" s="30">
        <f>0.0011*N615</f>
        <v>0</v>
      </c>
      <c r="R615" s="24"/>
      <c r="S615" s="25" t="s">
        <v>2598</v>
      </c>
      <c r="T615" s="25" t="s">
        <v>43</v>
      </c>
      <c r="U615" s="5"/>
      <c r="V615" s="5"/>
      <c r="W615" s="5" t="s">
        <v>46</v>
      </c>
      <c r="X615" s="5"/>
      <c r="Y615" s="5"/>
      <c r="Z615" s="5" t="str">
        <f>HYPERLINK("https://knigipp.ru/api/getInfo/image/c055e651-3b17-11ec-a20f-ac1f6b442185")</f>
        <v>https://knigipp.ru/api/getInfo/image/c055e651-3b17-11ec-a20f-ac1f6b442185</v>
      </c>
      <c r="AA615" s="33">
        <v>48</v>
      </c>
      <c r="AB615" s="5"/>
      <c r="AC615" s="5" t="s">
        <v>86</v>
      </c>
      <c r="AD615" s="5"/>
      <c r="AE615" s="5" t="s">
        <v>49</v>
      </c>
      <c r="AF615" s="5"/>
      <c r="AG615" s="5"/>
      <c r="AH615" s="5" t="s">
        <v>2594</v>
      </c>
    </row>
    <row r="616" spans="2:34" ht="22.95" customHeight="1" outlineLevel="2" x14ac:dyDescent="0.2">
      <c r="B616" s="73" t="s">
        <v>2599</v>
      </c>
      <c r="C616" s="73"/>
      <c r="D616" s="73"/>
    </row>
    <row r="617" spans="2:34" ht="22.95" customHeight="1" outlineLevel="3" x14ac:dyDescent="0.2">
      <c r="B617" s="74" t="s">
        <v>2600</v>
      </c>
      <c r="C617" s="74"/>
      <c r="D617" s="74"/>
    </row>
    <row r="618" spans="2:34" ht="21" customHeight="1" outlineLevel="4" x14ac:dyDescent="0.2">
      <c r="B618" s="4">
        <v>457</v>
      </c>
      <c r="C618" s="5" t="s">
        <v>2601</v>
      </c>
      <c r="D618" s="5" t="s">
        <v>2602</v>
      </c>
      <c r="E618" s="6" t="s">
        <v>2603</v>
      </c>
      <c r="F618" s="10"/>
      <c r="G618" s="11" t="s">
        <v>2604</v>
      </c>
      <c r="H618" s="12">
        <v>20</v>
      </c>
      <c r="I618" s="13" t="s">
        <v>261</v>
      </c>
      <c r="J618" s="13"/>
      <c r="K618" s="13"/>
      <c r="L618" s="4">
        <v>4</v>
      </c>
      <c r="M618" s="14">
        <f>179*(1-P3/100)</f>
        <v>179</v>
      </c>
      <c r="N618" s="15"/>
      <c r="O618" s="13">
        <f>M618*N618</f>
        <v>0</v>
      </c>
      <c r="P618" s="22">
        <f>0.177*N618</f>
        <v>0</v>
      </c>
      <c r="Q618" s="23">
        <f>0.00033*N618</f>
        <v>0</v>
      </c>
      <c r="R618" s="24"/>
      <c r="S618" s="25" t="s">
        <v>2605</v>
      </c>
      <c r="T618" s="25" t="s">
        <v>94</v>
      </c>
      <c r="U618" s="5"/>
      <c r="V618" s="5"/>
      <c r="W618" s="5" t="s">
        <v>46</v>
      </c>
      <c r="X618" s="5"/>
      <c r="Y618" s="5"/>
      <c r="Z618" s="5" t="str">
        <f>HYPERLINK("https://knigipp.ru/api/getInfo/image/3a7ffe77-a3c6-11ed-a22f-00155d82e902")</f>
        <v>https://knigipp.ru/api/getInfo/image/3a7ffe77-a3c6-11ed-a22f-00155d82e902</v>
      </c>
      <c r="AA618" s="33">
        <v>80</v>
      </c>
      <c r="AB618" s="5" t="s">
        <v>598</v>
      </c>
      <c r="AC618" s="5" t="s">
        <v>48</v>
      </c>
      <c r="AD618" s="5"/>
      <c r="AE618" s="5" t="s">
        <v>49</v>
      </c>
      <c r="AF618" s="5"/>
      <c r="AG618" s="5"/>
      <c r="AH618" s="5" t="s">
        <v>2606</v>
      </c>
    </row>
    <row r="619" spans="2:34" ht="21" customHeight="1" outlineLevel="4" x14ac:dyDescent="0.2">
      <c r="B619" s="4">
        <v>458</v>
      </c>
      <c r="C619" s="5" t="s">
        <v>2607</v>
      </c>
      <c r="D619" s="5" t="s">
        <v>2608</v>
      </c>
      <c r="E619" s="6" t="s">
        <v>2609</v>
      </c>
      <c r="F619" s="10"/>
      <c r="G619" s="11" t="s">
        <v>2610</v>
      </c>
      <c r="H619" s="12">
        <v>20</v>
      </c>
      <c r="I619" s="13" t="s">
        <v>371</v>
      </c>
      <c r="J619" s="13"/>
      <c r="K619" s="13"/>
      <c r="L619" s="4">
        <v>4</v>
      </c>
      <c r="M619" s="14">
        <f>179*(1-P3/100)</f>
        <v>179</v>
      </c>
      <c r="N619" s="15"/>
      <c r="O619" s="13">
        <f>M619*N619</f>
        <v>0</v>
      </c>
      <c r="P619" s="22">
        <f>0.178*N619</f>
        <v>0</v>
      </c>
      <c r="Q619" s="23">
        <f>0.00029*N619</f>
        <v>0</v>
      </c>
      <c r="R619" s="24"/>
      <c r="S619" s="25" t="s">
        <v>2611</v>
      </c>
      <c r="T619" s="25" t="s">
        <v>94</v>
      </c>
      <c r="U619" s="5"/>
      <c r="V619" s="5"/>
      <c r="W619" s="5" t="s">
        <v>2612</v>
      </c>
      <c r="X619" s="5"/>
      <c r="Y619" s="5"/>
      <c r="Z619" s="5" t="str">
        <f>HYPERLINK("https://knigipp.ru/api/getInfo/image/88fde9f1-a3c6-11ed-a22f-00155d82e902")</f>
        <v>https://knigipp.ru/api/getInfo/image/88fde9f1-a3c6-11ed-a22f-00155d82e902</v>
      </c>
      <c r="AA619" s="33">
        <v>80</v>
      </c>
      <c r="AB619" s="5" t="s">
        <v>598</v>
      </c>
      <c r="AC619" s="5" t="s">
        <v>48</v>
      </c>
      <c r="AD619" s="5"/>
      <c r="AE619" s="5" t="s">
        <v>49</v>
      </c>
      <c r="AF619" s="5"/>
      <c r="AG619" s="5"/>
      <c r="AH619" s="5" t="s">
        <v>2606</v>
      </c>
    </row>
    <row r="620" spans="2:34" ht="21" customHeight="1" outlineLevel="4" x14ac:dyDescent="0.2">
      <c r="B620" s="4">
        <v>459</v>
      </c>
      <c r="C620" s="5" t="s">
        <v>2613</v>
      </c>
      <c r="D620" s="5" t="s">
        <v>2614</v>
      </c>
      <c r="E620" s="6" t="s">
        <v>2615</v>
      </c>
      <c r="F620" s="10"/>
      <c r="G620" s="11" t="s">
        <v>2610</v>
      </c>
      <c r="H620" s="12">
        <v>20</v>
      </c>
      <c r="I620" s="13" t="s">
        <v>371</v>
      </c>
      <c r="J620" s="13"/>
      <c r="K620" s="13"/>
      <c r="L620" s="4">
        <v>4</v>
      </c>
      <c r="M620" s="14">
        <f>179*(1-P3/100)</f>
        <v>179</v>
      </c>
      <c r="N620" s="15"/>
      <c r="O620" s="13">
        <f>M620*N620</f>
        <v>0</v>
      </c>
      <c r="P620" s="22">
        <f>0.176*N620</f>
        <v>0</v>
      </c>
      <c r="Q620" s="23">
        <f>0.00038*N620</f>
        <v>0</v>
      </c>
      <c r="R620" s="24"/>
      <c r="S620" s="25" t="s">
        <v>2616</v>
      </c>
      <c r="T620" s="25" t="s">
        <v>94</v>
      </c>
      <c r="U620" s="5"/>
      <c r="V620" s="5"/>
      <c r="W620" s="5" t="s">
        <v>2612</v>
      </c>
      <c r="X620" s="5"/>
      <c r="Y620" s="5"/>
      <c r="Z620" s="5" t="str">
        <f>HYPERLINK("https://knigipp.ru/api/getInfo/image/c59a310c-a3c6-11ed-a22f-00155d82e902")</f>
        <v>https://knigipp.ru/api/getInfo/image/c59a310c-a3c6-11ed-a22f-00155d82e902</v>
      </c>
      <c r="AA620" s="33">
        <v>80</v>
      </c>
      <c r="AB620" s="5" t="s">
        <v>598</v>
      </c>
      <c r="AC620" s="5" t="s">
        <v>48</v>
      </c>
      <c r="AD620" s="5"/>
      <c r="AE620" s="5" t="s">
        <v>49</v>
      </c>
      <c r="AF620" s="5"/>
      <c r="AG620" s="5"/>
      <c r="AH620" s="5" t="s">
        <v>2606</v>
      </c>
    </row>
    <row r="621" spans="2:34" ht="22.95" customHeight="1" outlineLevel="3" x14ac:dyDescent="0.2">
      <c r="B621" s="74" t="s">
        <v>2617</v>
      </c>
      <c r="C621" s="74"/>
      <c r="D621" s="74"/>
    </row>
    <row r="622" spans="2:34" ht="21" customHeight="1" outlineLevel="4" x14ac:dyDescent="0.2">
      <c r="B622" s="4">
        <v>460</v>
      </c>
      <c r="C622" s="5" t="s">
        <v>2618</v>
      </c>
      <c r="D622" s="5" t="s">
        <v>2619</v>
      </c>
      <c r="E622" s="6" t="s">
        <v>2620</v>
      </c>
      <c r="F622" s="10"/>
      <c r="G622" s="11" t="s">
        <v>2621</v>
      </c>
      <c r="H622" s="12">
        <v>10</v>
      </c>
      <c r="I622" s="13" t="s">
        <v>41</v>
      </c>
      <c r="J622" s="13"/>
      <c r="K622" s="13"/>
      <c r="L622" s="4">
        <v>3</v>
      </c>
      <c r="M622" s="14">
        <f>237*(1-P3/100)</f>
        <v>237</v>
      </c>
      <c r="N622" s="15"/>
      <c r="O622" s="13">
        <f>M622*N622</f>
        <v>0</v>
      </c>
      <c r="P622" s="13">
        <v>0</v>
      </c>
      <c r="Q622" s="13">
        <v>0</v>
      </c>
      <c r="R622" s="24"/>
      <c r="S622" s="25" t="s">
        <v>2622</v>
      </c>
      <c r="T622" s="25" t="s">
        <v>94</v>
      </c>
      <c r="U622" s="5"/>
      <c r="V622" s="5" t="s">
        <v>2623</v>
      </c>
      <c r="W622" s="5" t="s">
        <v>46</v>
      </c>
      <c r="X622" s="5"/>
      <c r="Y622" s="5"/>
      <c r="Z622" s="5" t="str">
        <f>HYPERLINK("https://knigipp.ru/api/getInfo/image/4129e055-1cb5-11ef-a25e-00155d82e908")</f>
        <v>https://knigipp.ru/api/getInfo/image/4129e055-1cb5-11ef-a25e-00155d82e908</v>
      </c>
      <c r="AA622" s="33">
        <v>80</v>
      </c>
      <c r="AB622" s="5" t="s">
        <v>47</v>
      </c>
      <c r="AC622" s="5" t="s">
        <v>48</v>
      </c>
      <c r="AD622" s="5"/>
      <c r="AE622" s="5" t="s">
        <v>49</v>
      </c>
      <c r="AF622" s="5"/>
      <c r="AG622" s="5"/>
      <c r="AH622" s="5" t="s">
        <v>2624</v>
      </c>
    </row>
    <row r="623" spans="2:34" ht="21" customHeight="1" outlineLevel="4" x14ac:dyDescent="0.2">
      <c r="B623" s="4">
        <v>461</v>
      </c>
      <c r="C623" s="5" t="s">
        <v>2625</v>
      </c>
      <c r="D623" s="5" t="s">
        <v>2626</v>
      </c>
      <c r="E623" s="6" t="s">
        <v>2627</v>
      </c>
      <c r="F623" s="10"/>
      <c r="G623" s="11" t="s">
        <v>2621</v>
      </c>
      <c r="H623" s="12">
        <v>10</v>
      </c>
      <c r="I623" s="13" t="s">
        <v>41</v>
      </c>
      <c r="J623" s="13"/>
      <c r="K623" s="13"/>
      <c r="L623" s="4">
        <v>3</v>
      </c>
      <c r="M623" s="14">
        <f>237*(1-P3/100)</f>
        <v>237</v>
      </c>
      <c r="N623" s="15"/>
      <c r="O623" s="13">
        <f>M623*N623</f>
        <v>0</v>
      </c>
      <c r="P623" s="13">
        <v>0</v>
      </c>
      <c r="Q623" s="13">
        <v>0</v>
      </c>
      <c r="R623" s="24"/>
      <c r="S623" s="25" t="s">
        <v>2628</v>
      </c>
      <c r="T623" s="25" t="s">
        <v>94</v>
      </c>
      <c r="U623" s="5"/>
      <c r="V623" s="5" t="s">
        <v>2629</v>
      </c>
      <c r="W623" s="5" t="s">
        <v>46</v>
      </c>
      <c r="X623" s="5"/>
      <c r="Y623" s="5"/>
      <c r="Z623" s="5" t="str">
        <f>HYPERLINK("https://knigipp.ru/api/getInfo/image/932f0226-1cb4-11ef-a25e-00155d82e908")</f>
        <v>https://knigipp.ru/api/getInfo/image/932f0226-1cb4-11ef-a25e-00155d82e908</v>
      </c>
      <c r="AA623" s="33">
        <v>80</v>
      </c>
      <c r="AB623" s="5" t="s">
        <v>47</v>
      </c>
      <c r="AC623" s="5" t="s">
        <v>48</v>
      </c>
      <c r="AD623" s="5"/>
      <c r="AE623" s="5" t="s">
        <v>49</v>
      </c>
      <c r="AF623" s="5"/>
      <c r="AG623" s="5"/>
      <c r="AH623" s="5" t="s">
        <v>2624</v>
      </c>
    </row>
    <row r="624" spans="2:34" ht="21" customHeight="1" outlineLevel="4" x14ac:dyDescent="0.2">
      <c r="B624" s="4">
        <v>462</v>
      </c>
      <c r="C624" s="5" t="s">
        <v>2630</v>
      </c>
      <c r="D624" s="5" t="s">
        <v>2631</v>
      </c>
      <c r="E624" s="6" t="s">
        <v>2632</v>
      </c>
      <c r="F624" s="10"/>
      <c r="G624" s="11" t="s">
        <v>2621</v>
      </c>
      <c r="H624" s="12">
        <v>10</v>
      </c>
      <c r="I624" s="13" t="s">
        <v>41</v>
      </c>
      <c r="J624" s="13"/>
      <c r="K624" s="13"/>
      <c r="L624" s="4">
        <v>3</v>
      </c>
      <c r="M624" s="14">
        <f>237*(1-P3/100)</f>
        <v>237</v>
      </c>
      <c r="N624" s="15"/>
      <c r="O624" s="13">
        <f>M624*N624</f>
        <v>0</v>
      </c>
      <c r="P624" s="22">
        <f>0.126*N624</f>
        <v>0</v>
      </c>
      <c r="Q624" s="23">
        <f>0.00018*N624</f>
        <v>0</v>
      </c>
      <c r="R624" s="24"/>
      <c r="S624" s="25" t="s">
        <v>2633</v>
      </c>
      <c r="T624" s="25" t="s">
        <v>94</v>
      </c>
      <c r="U624" s="5"/>
      <c r="V624" s="5" t="s">
        <v>2634</v>
      </c>
      <c r="W624" s="5" t="s">
        <v>46</v>
      </c>
      <c r="X624" s="5"/>
      <c r="Y624" s="5"/>
      <c r="Z624" s="5" t="str">
        <f>HYPERLINK("https://knigipp.ru/api/getInfo/image/17ecc4ef-1cb5-11ef-a25e-00155d82e908")</f>
        <v>https://knigipp.ru/api/getInfo/image/17ecc4ef-1cb5-11ef-a25e-00155d82e908</v>
      </c>
      <c r="AA624" s="33">
        <v>80</v>
      </c>
      <c r="AB624" s="5" t="s">
        <v>47</v>
      </c>
      <c r="AC624" s="5" t="s">
        <v>48</v>
      </c>
      <c r="AD624" s="5"/>
      <c r="AE624" s="5" t="s">
        <v>49</v>
      </c>
      <c r="AF624" s="5"/>
      <c r="AG624" s="5"/>
      <c r="AH624" s="5" t="s">
        <v>2624</v>
      </c>
    </row>
    <row r="625" spans="2:34" ht="22.95" customHeight="1" outlineLevel="3" x14ac:dyDescent="0.2">
      <c r="B625" s="74" t="s">
        <v>2635</v>
      </c>
      <c r="C625" s="74"/>
      <c r="D625" s="74"/>
    </row>
    <row r="626" spans="2:34" ht="21" customHeight="1" outlineLevel="4" x14ac:dyDescent="0.2">
      <c r="B626" s="4">
        <v>463</v>
      </c>
      <c r="C626" s="5" t="s">
        <v>2636</v>
      </c>
      <c r="D626" s="5" t="s">
        <v>2637</v>
      </c>
      <c r="E626" s="6" t="s">
        <v>2638</v>
      </c>
      <c r="F626" s="10"/>
      <c r="G626" s="11" t="s">
        <v>2639</v>
      </c>
      <c r="H626" s="12">
        <v>16</v>
      </c>
      <c r="I626" s="13" t="s">
        <v>41</v>
      </c>
      <c r="J626" s="13"/>
      <c r="K626" s="13"/>
      <c r="L626" s="4">
        <v>2</v>
      </c>
      <c r="M626" s="14">
        <f>437*(1-P3/100)</f>
        <v>437</v>
      </c>
      <c r="N626" s="15"/>
      <c r="O626" s="13">
        <f>M626*N626</f>
        <v>0</v>
      </c>
      <c r="P626" s="22">
        <f>0.145*N626</f>
        <v>0</v>
      </c>
      <c r="Q626" s="23">
        <f>0.00007*N626</f>
        <v>0</v>
      </c>
      <c r="R626" s="24"/>
      <c r="S626" s="25" t="s">
        <v>2640</v>
      </c>
      <c r="T626" s="25" t="s">
        <v>94</v>
      </c>
      <c r="U626" s="5"/>
      <c r="V626" s="5" t="s">
        <v>2641</v>
      </c>
      <c r="W626" s="5" t="s">
        <v>46</v>
      </c>
      <c r="X626" s="5"/>
      <c r="Y626" s="5"/>
      <c r="Z626" s="5" t="str">
        <f>HYPERLINK("https://knigipp.ru/api/getInfo/image/d48539db-977b-11ef-a267-00155d82e908")</f>
        <v>https://knigipp.ru/api/getInfo/image/d48539db-977b-11ef-a267-00155d82e908</v>
      </c>
      <c r="AA626" s="33">
        <v>96</v>
      </c>
      <c r="AB626" s="5" t="s">
        <v>47</v>
      </c>
      <c r="AC626" s="5" t="s">
        <v>219</v>
      </c>
      <c r="AD626" s="5"/>
      <c r="AE626" s="5" t="s">
        <v>49</v>
      </c>
      <c r="AF626" s="5"/>
      <c r="AG626" s="5"/>
      <c r="AH626" s="5" t="s">
        <v>2642</v>
      </c>
    </row>
    <row r="627" spans="2:34" ht="21" customHeight="1" outlineLevel="4" x14ac:dyDescent="0.2">
      <c r="B627" s="4">
        <v>464</v>
      </c>
      <c r="C627" s="5" t="s">
        <v>2643</v>
      </c>
      <c r="D627" s="5" t="s">
        <v>2644</v>
      </c>
      <c r="E627" s="6" t="s">
        <v>2645</v>
      </c>
      <c r="F627" s="10"/>
      <c r="G627" s="11" t="s">
        <v>2639</v>
      </c>
      <c r="H627" s="12">
        <v>16</v>
      </c>
      <c r="I627" s="13" t="s">
        <v>41</v>
      </c>
      <c r="J627" s="13"/>
      <c r="K627" s="13"/>
      <c r="L627" s="4">
        <v>2</v>
      </c>
      <c r="M627" s="14">
        <f>437*(1-P3/100)</f>
        <v>437</v>
      </c>
      <c r="N627" s="15"/>
      <c r="O627" s="13">
        <f>M627*N627</f>
        <v>0</v>
      </c>
      <c r="P627" s="22">
        <f>0.149*N627</f>
        <v>0</v>
      </c>
      <c r="Q627" s="23">
        <f>0.00025*N627</f>
        <v>0</v>
      </c>
      <c r="R627" s="24"/>
      <c r="S627" s="25" t="s">
        <v>2646</v>
      </c>
      <c r="T627" s="25" t="s">
        <v>94</v>
      </c>
      <c r="U627" s="5"/>
      <c r="V627" s="5" t="s">
        <v>2647</v>
      </c>
      <c r="W627" s="5" t="s">
        <v>46</v>
      </c>
      <c r="X627" s="5"/>
      <c r="Y627" s="5"/>
      <c r="Z627" s="5" t="str">
        <f>HYPERLINK("https://knigipp.ru/api/getInfo/image/261de0af-977c-11ef-a267-00155d82e908")</f>
        <v>https://knigipp.ru/api/getInfo/image/261de0af-977c-11ef-a267-00155d82e908</v>
      </c>
      <c r="AA627" s="33">
        <v>96</v>
      </c>
      <c r="AB627" s="5" t="s">
        <v>47</v>
      </c>
      <c r="AC627" s="5" t="s">
        <v>219</v>
      </c>
      <c r="AD627" s="5"/>
      <c r="AE627" s="5" t="s">
        <v>49</v>
      </c>
      <c r="AF627" s="5"/>
      <c r="AG627" s="5"/>
      <c r="AH627" s="5" t="s">
        <v>2642</v>
      </c>
    </row>
    <row r="628" spans="2:34" ht="21" customHeight="1" outlineLevel="4" x14ac:dyDescent="0.2">
      <c r="B628" s="4">
        <v>465</v>
      </c>
      <c r="C628" s="5" t="s">
        <v>2648</v>
      </c>
      <c r="D628" s="5" t="s">
        <v>2649</v>
      </c>
      <c r="E628" s="6" t="s">
        <v>2650</v>
      </c>
      <c r="F628" s="10"/>
      <c r="G628" s="11" t="s">
        <v>2639</v>
      </c>
      <c r="H628" s="12">
        <v>16</v>
      </c>
      <c r="I628" s="13" t="s">
        <v>41</v>
      </c>
      <c r="J628" s="13"/>
      <c r="K628" s="13"/>
      <c r="L628" s="4">
        <v>2</v>
      </c>
      <c r="M628" s="14">
        <f>437*(1-P3/100)</f>
        <v>437</v>
      </c>
      <c r="N628" s="15"/>
      <c r="O628" s="13">
        <f>M628*N628</f>
        <v>0</v>
      </c>
      <c r="P628" s="22">
        <f>0.152*N628</f>
        <v>0</v>
      </c>
      <c r="Q628" s="23">
        <f>0.00015*N628</f>
        <v>0</v>
      </c>
      <c r="R628" s="24"/>
      <c r="S628" s="25" t="s">
        <v>2651</v>
      </c>
      <c r="T628" s="25" t="s">
        <v>94</v>
      </c>
      <c r="U628" s="5"/>
      <c r="V628" s="5" t="s">
        <v>2652</v>
      </c>
      <c r="W628" s="5" t="s">
        <v>46</v>
      </c>
      <c r="X628" s="5"/>
      <c r="Y628" s="5"/>
      <c r="Z628" s="5" t="str">
        <f>HYPERLINK("https://knigipp.ru/api/getInfo/image/4e97a4b3-977c-11ef-a267-00155d82e908")</f>
        <v>https://knigipp.ru/api/getInfo/image/4e97a4b3-977c-11ef-a267-00155d82e908</v>
      </c>
      <c r="AA628" s="33">
        <v>96</v>
      </c>
      <c r="AB628" s="5" t="s">
        <v>47</v>
      </c>
      <c r="AC628" s="5" t="s">
        <v>219</v>
      </c>
      <c r="AD628" s="5"/>
      <c r="AE628" s="5" t="s">
        <v>49</v>
      </c>
      <c r="AF628" s="5"/>
      <c r="AG628" s="5"/>
      <c r="AH628" s="5" t="s">
        <v>2642</v>
      </c>
    </row>
    <row r="629" spans="2:34" ht="21" customHeight="1" outlineLevel="4" x14ac:dyDescent="0.2">
      <c r="B629" s="4">
        <v>466</v>
      </c>
      <c r="C629" s="5" t="s">
        <v>2653</v>
      </c>
      <c r="D629" s="5" t="s">
        <v>2654</v>
      </c>
      <c r="E629" s="6" t="s">
        <v>2655</v>
      </c>
      <c r="F629" s="10"/>
      <c r="G629" s="11" t="s">
        <v>2639</v>
      </c>
      <c r="H629" s="12">
        <v>16</v>
      </c>
      <c r="I629" s="13" t="s">
        <v>371</v>
      </c>
      <c r="J629" s="13"/>
      <c r="K629" s="13"/>
      <c r="L629" s="4">
        <v>2</v>
      </c>
      <c r="M629" s="14">
        <f>437*(1-P3/100)</f>
        <v>437</v>
      </c>
      <c r="N629" s="15"/>
      <c r="O629" s="13">
        <f>M629*N629</f>
        <v>0</v>
      </c>
      <c r="P629" s="22">
        <f>0.157*N629</f>
        <v>0</v>
      </c>
      <c r="Q629" s="23">
        <f>0.00016*N629</f>
        <v>0</v>
      </c>
      <c r="R629" s="24"/>
      <c r="S629" s="25" t="s">
        <v>2656</v>
      </c>
      <c r="T629" s="25" t="s">
        <v>94</v>
      </c>
      <c r="U629" s="5"/>
      <c r="V629" s="5" t="s">
        <v>2657</v>
      </c>
      <c r="W629" s="5" t="s">
        <v>46</v>
      </c>
      <c r="X629" s="5"/>
      <c r="Y629" s="5"/>
      <c r="Z629" s="5" t="str">
        <f>HYPERLINK("https://knigipp.ru/api/getInfo/image/71c57f03-977c-11ef-a267-00155d82e908")</f>
        <v>https://knigipp.ru/api/getInfo/image/71c57f03-977c-11ef-a267-00155d82e908</v>
      </c>
      <c r="AA629" s="33">
        <v>96</v>
      </c>
      <c r="AB629" s="5" t="s">
        <v>47</v>
      </c>
      <c r="AC629" s="5" t="s">
        <v>219</v>
      </c>
      <c r="AD629" s="5"/>
      <c r="AE629" s="5" t="s">
        <v>49</v>
      </c>
      <c r="AF629" s="5"/>
      <c r="AG629" s="5"/>
      <c r="AH629" s="5" t="s">
        <v>2642</v>
      </c>
    </row>
    <row r="630" spans="2:34" ht="22.95" customHeight="1" outlineLevel="3" x14ac:dyDescent="0.2">
      <c r="B630" s="74" t="s">
        <v>2658</v>
      </c>
      <c r="C630" s="74"/>
      <c r="D630" s="74"/>
    </row>
    <row r="631" spans="2:34" ht="21" customHeight="1" outlineLevel="4" x14ac:dyDescent="0.2">
      <c r="B631" s="4">
        <v>467</v>
      </c>
      <c r="C631" s="5" t="s">
        <v>2659</v>
      </c>
      <c r="D631" s="5" t="s">
        <v>2660</v>
      </c>
      <c r="E631" s="6" t="s">
        <v>2661</v>
      </c>
      <c r="F631" s="10"/>
      <c r="G631" s="11" t="s">
        <v>2662</v>
      </c>
      <c r="H631" s="12">
        <v>50</v>
      </c>
      <c r="I631" s="13" t="s">
        <v>41</v>
      </c>
      <c r="J631" s="13"/>
      <c r="K631" s="13"/>
      <c r="L631" s="4">
        <v>4</v>
      </c>
      <c r="M631" s="14">
        <f>177*(1-P3/100)</f>
        <v>177</v>
      </c>
      <c r="N631" s="15"/>
      <c r="O631" s="13">
        <f>M631*N631</f>
        <v>0</v>
      </c>
      <c r="P631" s="13">
        <v>0</v>
      </c>
      <c r="Q631" s="13">
        <v>0</v>
      </c>
      <c r="R631" s="24"/>
      <c r="S631" s="25" t="s">
        <v>2663</v>
      </c>
      <c r="T631" s="25" t="s">
        <v>94</v>
      </c>
      <c r="U631" s="5"/>
      <c r="V631" s="5" t="s">
        <v>2664</v>
      </c>
      <c r="W631" s="5" t="s">
        <v>46</v>
      </c>
      <c r="X631" s="5"/>
      <c r="Y631" s="5"/>
      <c r="Z631" s="5" t="str">
        <f>HYPERLINK("https://knigipp.ru/api/getInfo/image/bf84bd4f-3066-11ee-a23e-00155d82e902")</f>
        <v>https://knigipp.ru/api/getInfo/image/bf84bd4f-3066-11ee-a23e-00155d82e902</v>
      </c>
      <c r="AA631" s="33">
        <v>32</v>
      </c>
      <c r="AB631" s="5" t="s">
        <v>47</v>
      </c>
      <c r="AC631" s="5" t="s">
        <v>96</v>
      </c>
      <c r="AD631" s="5"/>
      <c r="AE631" s="5" t="s">
        <v>49</v>
      </c>
      <c r="AF631" s="5"/>
      <c r="AG631" s="5"/>
      <c r="AH631" s="5" t="s">
        <v>2177</v>
      </c>
    </row>
    <row r="632" spans="2:34" ht="21" customHeight="1" outlineLevel="4" x14ac:dyDescent="0.2">
      <c r="B632" s="4">
        <v>468</v>
      </c>
      <c r="C632" s="5" t="s">
        <v>2665</v>
      </c>
      <c r="D632" s="5" t="s">
        <v>2666</v>
      </c>
      <c r="E632" s="6" t="s">
        <v>2667</v>
      </c>
      <c r="F632" s="10"/>
      <c r="G632" s="11" t="s">
        <v>2662</v>
      </c>
      <c r="H632" s="12">
        <v>50</v>
      </c>
      <c r="I632" s="13" t="s">
        <v>41</v>
      </c>
      <c r="J632" s="13"/>
      <c r="K632" s="13"/>
      <c r="L632" s="4">
        <v>4</v>
      </c>
      <c r="M632" s="14">
        <f>177*(1-P3/100)</f>
        <v>177</v>
      </c>
      <c r="N632" s="15"/>
      <c r="O632" s="13">
        <f>M632*N632</f>
        <v>0</v>
      </c>
      <c r="P632" s="13">
        <v>0</v>
      </c>
      <c r="Q632" s="13">
        <v>0</v>
      </c>
      <c r="R632" s="24"/>
      <c r="S632" s="25" t="s">
        <v>2668</v>
      </c>
      <c r="T632" s="25" t="s">
        <v>94</v>
      </c>
      <c r="U632" s="5"/>
      <c r="V632" s="5" t="s">
        <v>2669</v>
      </c>
      <c r="W632" s="5" t="s">
        <v>46</v>
      </c>
      <c r="X632" s="5"/>
      <c r="Y632" s="5"/>
      <c r="Z632" s="5" t="str">
        <f>HYPERLINK("https://knigipp.ru/api/getInfo/image/2d3c10de-3066-11ee-a23e-00155d82e902")</f>
        <v>https://knigipp.ru/api/getInfo/image/2d3c10de-3066-11ee-a23e-00155d82e902</v>
      </c>
      <c r="AA632" s="33">
        <v>32</v>
      </c>
      <c r="AB632" s="5" t="s">
        <v>47</v>
      </c>
      <c r="AC632" s="5" t="s">
        <v>96</v>
      </c>
      <c r="AD632" s="5"/>
      <c r="AE632" s="5" t="s">
        <v>49</v>
      </c>
      <c r="AF632" s="5"/>
      <c r="AG632" s="5"/>
      <c r="AH632" s="5" t="s">
        <v>2177</v>
      </c>
    </row>
    <row r="633" spans="2:34" ht="21" customHeight="1" outlineLevel="4" x14ac:dyDescent="0.2">
      <c r="B633" s="4">
        <v>469</v>
      </c>
      <c r="C633" s="5" t="s">
        <v>2670</v>
      </c>
      <c r="D633" s="5" t="s">
        <v>2671</v>
      </c>
      <c r="E633" s="6" t="s">
        <v>2672</v>
      </c>
      <c r="F633" s="10"/>
      <c r="G633" s="11" t="s">
        <v>2662</v>
      </c>
      <c r="H633" s="12">
        <v>50</v>
      </c>
      <c r="I633" s="13" t="s">
        <v>41</v>
      </c>
      <c r="J633" s="13"/>
      <c r="K633" s="13"/>
      <c r="L633" s="4">
        <v>4</v>
      </c>
      <c r="M633" s="14">
        <f>177*(1-P3/100)</f>
        <v>177</v>
      </c>
      <c r="N633" s="15"/>
      <c r="O633" s="13">
        <f>M633*N633</f>
        <v>0</v>
      </c>
      <c r="P633" s="13">
        <v>0</v>
      </c>
      <c r="Q633" s="13">
        <v>0</v>
      </c>
      <c r="R633" s="24"/>
      <c r="S633" s="25" t="s">
        <v>2673</v>
      </c>
      <c r="T633" s="25" t="s">
        <v>94</v>
      </c>
      <c r="U633" s="5"/>
      <c r="V633" s="5" t="s">
        <v>2674</v>
      </c>
      <c r="W633" s="5" t="s">
        <v>46</v>
      </c>
      <c r="X633" s="5"/>
      <c r="Y633" s="5"/>
      <c r="Z633" s="5" t="str">
        <f>HYPERLINK("https://knigipp.ru/api/getInfo/image/eda0ffa1-3066-11ee-a23e-00155d82e902")</f>
        <v>https://knigipp.ru/api/getInfo/image/eda0ffa1-3066-11ee-a23e-00155d82e902</v>
      </c>
      <c r="AA633" s="33">
        <v>32</v>
      </c>
      <c r="AB633" s="5" t="s">
        <v>47</v>
      </c>
      <c r="AC633" s="5" t="s">
        <v>96</v>
      </c>
      <c r="AD633" s="5"/>
      <c r="AE633" s="5" t="s">
        <v>49</v>
      </c>
      <c r="AF633" s="5"/>
      <c r="AG633" s="5"/>
      <c r="AH633" s="5" t="s">
        <v>2177</v>
      </c>
    </row>
    <row r="634" spans="2:34" ht="21" customHeight="1" outlineLevel="4" x14ac:dyDescent="0.2">
      <c r="B634" s="4">
        <v>470</v>
      </c>
      <c r="C634" s="5" t="s">
        <v>2675</v>
      </c>
      <c r="D634" s="5" t="s">
        <v>2676</v>
      </c>
      <c r="E634" s="6" t="s">
        <v>2677</v>
      </c>
      <c r="F634" s="10"/>
      <c r="G634" s="11" t="s">
        <v>2662</v>
      </c>
      <c r="H634" s="12">
        <v>50</v>
      </c>
      <c r="I634" s="13" t="s">
        <v>41</v>
      </c>
      <c r="J634" s="13"/>
      <c r="K634" s="13"/>
      <c r="L634" s="4">
        <v>4</v>
      </c>
      <c r="M634" s="14">
        <f>177*(1-P3/100)</f>
        <v>177</v>
      </c>
      <c r="N634" s="15"/>
      <c r="O634" s="13">
        <f>M634*N634</f>
        <v>0</v>
      </c>
      <c r="P634" s="22">
        <f>0.072*N634</f>
        <v>0</v>
      </c>
      <c r="Q634" s="23">
        <f>0.00065*N634</f>
        <v>0</v>
      </c>
      <c r="R634" s="24"/>
      <c r="S634" s="25" t="s">
        <v>2678</v>
      </c>
      <c r="T634" s="25" t="s">
        <v>94</v>
      </c>
      <c r="U634" s="5"/>
      <c r="V634" s="5" t="s">
        <v>2679</v>
      </c>
      <c r="W634" s="5" t="s">
        <v>46</v>
      </c>
      <c r="X634" s="5"/>
      <c r="Y634" s="5"/>
      <c r="Z634" s="5" t="str">
        <f>HYPERLINK("https://knigipp.ru/api/getInfo/image/2c3f4806-3068-11ee-a23e-00155d82e902")</f>
        <v>https://knigipp.ru/api/getInfo/image/2c3f4806-3068-11ee-a23e-00155d82e902</v>
      </c>
      <c r="AA634" s="33">
        <v>32</v>
      </c>
      <c r="AB634" s="5" t="s">
        <v>47</v>
      </c>
      <c r="AC634" s="5" t="s">
        <v>96</v>
      </c>
      <c r="AD634" s="5"/>
      <c r="AE634" s="5" t="s">
        <v>49</v>
      </c>
      <c r="AF634" s="5"/>
      <c r="AG634" s="5"/>
      <c r="AH634" s="5" t="s">
        <v>2177</v>
      </c>
    </row>
    <row r="635" spans="2:34" ht="22.95" customHeight="1" outlineLevel="3" x14ac:dyDescent="0.2">
      <c r="B635" s="74" t="s">
        <v>2680</v>
      </c>
      <c r="C635" s="74"/>
      <c r="D635" s="74"/>
    </row>
    <row r="636" spans="2:34" ht="21" customHeight="1" outlineLevel="4" x14ac:dyDescent="0.2">
      <c r="B636" s="4">
        <v>471</v>
      </c>
      <c r="C636" s="5" t="s">
        <v>2681</v>
      </c>
      <c r="D636" s="5" t="s">
        <v>2682</v>
      </c>
      <c r="E636" s="6" t="s">
        <v>2683</v>
      </c>
      <c r="F636" s="10"/>
      <c r="G636" s="11" t="s">
        <v>2684</v>
      </c>
      <c r="H636" s="12">
        <v>10</v>
      </c>
      <c r="I636" s="13" t="s">
        <v>371</v>
      </c>
      <c r="J636" s="13"/>
      <c r="K636" s="13"/>
      <c r="L636" s="4">
        <v>4</v>
      </c>
      <c r="M636" s="14">
        <f>169*(1-P3/100)</f>
        <v>169</v>
      </c>
      <c r="N636" s="15"/>
      <c r="O636" s="13">
        <f>M636*N636</f>
        <v>0</v>
      </c>
      <c r="P636" s="13">
        <v>0</v>
      </c>
      <c r="Q636" s="13">
        <v>0</v>
      </c>
      <c r="R636" s="24"/>
      <c r="S636" s="25" t="s">
        <v>2685</v>
      </c>
      <c r="T636" s="25" t="s">
        <v>43</v>
      </c>
      <c r="U636" s="5"/>
      <c r="V636" s="5" t="s">
        <v>2686</v>
      </c>
      <c r="W636" s="5" t="s">
        <v>46</v>
      </c>
      <c r="X636" s="5"/>
      <c r="Y636" s="5"/>
      <c r="Z636" s="5" t="str">
        <f>HYPERLINK("https://knigipp.ru/api/getInfo/image/e4e23cbf-3b4e-11ee-a241-00155d82e902")</f>
        <v>https://knigipp.ru/api/getInfo/image/e4e23cbf-3b4e-11ee-a241-00155d82e902</v>
      </c>
      <c r="AA636" s="33">
        <v>96</v>
      </c>
      <c r="AB636" s="5" t="s">
        <v>574</v>
      </c>
      <c r="AC636" s="5" t="s">
        <v>219</v>
      </c>
      <c r="AD636" s="5"/>
      <c r="AE636" s="5" t="s">
        <v>49</v>
      </c>
      <c r="AF636" s="5"/>
      <c r="AG636" s="5"/>
      <c r="AH636" s="5" t="s">
        <v>2687</v>
      </c>
    </row>
    <row r="637" spans="2:34" ht="22.95" customHeight="1" outlineLevel="3" x14ac:dyDescent="0.2">
      <c r="B637" s="74" t="s">
        <v>2688</v>
      </c>
      <c r="C637" s="74"/>
      <c r="D637" s="74"/>
    </row>
    <row r="638" spans="2:34" ht="21" customHeight="1" outlineLevel="4" x14ac:dyDescent="0.2">
      <c r="B638" s="4">
        <v>472</v>
      </c>
      <c r="C638" s="5" t="s">
        <v>2689</v>
      </c>
      <c r="D638" s="5" t="s">
        <v>2690</v>
      </c>
      <c r="E638" s="6" t="s">
        <v>2691</v>
      </c>
      <c r="F638" s="10"/>
      <c r="G638" s="11" t="s">
        <v>2692</v>
      </c>
      <c r="H638" s="12">
        <v>10</v>
      </c>
      <c r="I638" s="13" t="s">
        <v>41</v>
      </c>
      <c r="J638" s="13"/>
      <c r="K638" s="13"/>
      <c r="L638" s="4">
        <v>3</v>
      </c>
      <c r="M638" s="14">
        <f>239*(1-P3/100)</f>
        <v>239</v>
      </c>
      <c r="N638" s="15"/>
      <c r="O638" s="13">
        <f>M638*N638</f>
        <v>0</v>
      </c>
      <c r="P638" s="13">
        <v>0</v>
      </c>
      <c r="Q638" s="13">
        <v>0</v>
      </c>
      <c r="R638" s="24"/>
      <c r="S638" s="25" t="s">
        <v>2693</v>
      </c>
      <c r="T638" s="25" t="s">
        <v>94</v>
      </c>
      <c r="U638" s="5"/>
      <c r="V638" s="5"/>
      <c r="W638" s="5" t="s">
        <v>46</v>
      </c>
      <c r="X638" s="5" t="s">
        <v>2694</v>
      </c>
      <c r="Y638" s="5"/>
      <c r="Z638" s="5" t="str">
        <f>HYPERLINK("https://knigipp.ru/api/getInfo/image/97747a82-3b4c-11ee-a241-00155d82e902")</f>
        <v>https://knigipp.ru/api/getInfo/image/97747a82-3b4c-11ee-a241-00155d82e902</v>
      </c>
      <c r="AA638" s="33">
        <v>96</v>
      </c>
      <c r="AB638" s="5"/>
      <c r="AC638" s="5" t="s">
        <v>48</v>
      </c>
      <c r="AD638" s="5"/>
      <c r="AE638" s="5" t="s">
        <v>49</v>
      </c>
      <c r="AF638" s="5"/>
      <c r="AG638" s="5"/>
      <c r="AH638" s="5" t="s">
        <v>2695</v>
      </c>
    </row>
    <row r="639" spans="2:34" ht="21" customHeight="1" outlineLevel="4" x14ac:dyDescent="0.2">
      <c r="B639" s="4">
        <v>473</v>
      </c>
      <c r="C639" s="5" t="s">
        <v>2696</v>
      </c>
      <c r="D639" s="5" t="s">
        <v>2697</v>
      </c>
      <c r="E639" s="6" t="s">
        <v>2698</v>
      </c>
      <c r="F639" s="10"/>
      <c r="G639" s="11" t="s">
        <v>2699</v>
      </c>
      <c r="H639" s="12">
        <v>10</v>
      </c>
      <c r="I639" s="13" t="s">
        <v>41</v>
      </c>
      <c r="J639" s="13"/>
      <c r="K639" s="13"/>
      <c r="L639" s="4">
        <v>3</v>
      </c>
      <c r="M639" s="14">
        <f>239*(1-P3/100)</f>
        <v>239</v>
      </c>
      <c r="N639" s="15"/>
      <c r="O639" s="13">
        <f>M639*N639</f>
        <v>0</v>
      </c>
      <c r="P639" s="13">
        <v>0</v>
      </c>
      <c r="Q639" s="13">
        <v>0</v>
      </c>
      <c r="R639" s="24"/>
      <c r="S639" s="25" t="s">
        <v>2700</v>
      </c>
      <c r="T639" s="25" t="s">
        <v>94</v>
      </c>
      <c r="U639" s="5"/>
      <c r="V639" s="5" t="s">
        <v>2701</v>
      </c>
      <c r="W639" s="5" t="s">
        <v>46</v>
      </c>
      <c r="X639" s="5" t="s">
        <v>2694</v>
      </c>
      <c r="Y639" s="5"/>
      <c r="Z639" s="5" t="str">
        <f>HYPERLINK("https://knigipp.ru/api/getInfo/image/b8acfc1b-3b4c-11ee-a241-00155d82e902")</f>
        <v>https://knigipp.ru/api/getInfo/image/b8acfc1b-3b4c-11ee-a241-00155d82e902</v>
      </c>
      <c r="AA639" s="33">
        <v>96</v>
      </c>
      <c r="AB639" s="5"/>
      <c r="AC639" s="5" t="s">
        <v>48</v>
      </c>
      <c r="AD639" s="5"/>
      <c r="AE639" s="5" t="s">
        <v>49</v>
      </c>
      <c r="AF639" s="5"/>
      <c r="AG639" s="5"/>
      <c r="AH639" s="5" t="s">
        <v>2695</v>
      </c>
    </row>
    <row r="640" spans="2:34" ht="21" customHeight="1" outlineLevel="4" x14ac:dyDescent="0.2">
      <c r="B640" s="4">
        <v>474</v>
      </c>
      <c r="C640" s="5" t="s">
        <v>2702</v>
      </c>
      <c r="D640" s="5" t="s">
        <v>2703</v>
      </c>
      <c r="E640" s="6" t="s">
        <v>2704</v>
      </c>
      <c r="F640" s="10"/>
      <c r="G640" s="11" t="s">
        <v>2705</v>
      </c>
      <c r="H640" s="12">
        <v>10</v>
      </c>
      <c r="I640" s="13" t="s">
        <v>41</v>
      </c>
      <c r="J640" s="13"/>
      <c r="K640" s="13"/>
      <c r="L640" s="4">
        <v>3</v>
      </c>
      <c r="M640" s="14">
        <f>239*(1-P3/100)</f>
        <v>239</v>
      </c>
      <c r="N640" s="15"/>
      <c r="O640" s="13">
        <f>M640*N640</f>
        <v>0</v>
      </c>
      <c r="P640" s="13">
        <v>0</v>
      </c>
      <c r="Q640" s="13">
        <v>0</v>
      </c>
      <c r="R640" s="24"/>
      <c r="S640" s="25" t="s">
        <v>2706</v>
      </c>
      <c r="T640" s="25" t="s">
        <v>94</v>
      </c>
      <c r="U640" s="5"/>
      <c r="V640" s="5"/>
      <c r="W640" s="5" t="s">
        <v>46</v>
      </c>
      <c r="X640" s="5" t="s">
        <v>2694</v>
      </c>
      <c r="Y640" s="5"/>
      <c r="Z640" s="5" t="str">
        <f>HYPERLINK("https://knigipp.ru/api/getInfo/image/dab4e807-3b4c-11ee-a241-00155d82e902")</f>
        <v>https://knigipp.ru/api/getInfo/image/dab4e807-3b4c-11ee-a241-00155d82e902</v>
      </c>
      <c r="AA640" s="33">
        <v>96</v>
      </c>
      <c r="AB640" s="5"/>
      <c r="AC640" s="5" t="s">
        <v>48</v>
      </c>
      <c r="AD640" s="5"/>
      <c r="AE640" s="5" t="s">
        <v>49</v>
      </c>
      <c r="AF640" s="5"/>
      <c r="AG640" s="5"/>
      <c r="AH640" s="5" t="s">
        <v>2695</v>
      </c>
    </row>
    <row r="641" spans="2:34" ht="21" customHeight="1" outlineLevel="4" x14ac:dyDescent="0.2">
      <c r="B641" s="4">
        <v>475</v>
      </c>
      <c r="C641" s="5" t="s">
        <v>2707</v>
      </c>
      <c r="D641" s="5" t="s">
        <v>2708</v>
      </c>
      <c r="E641" s="6" t="s">
        <v>2709</v>
      </c>
      <c r="F641" s="10"/>
      <c r="G641" s="11" t="s">
        <v>2710</v>
      </c>
      <c r="H641" s="12">
        <v>10</v>
      </c>
      <c r="I641" s="13" t="s">
        <v>41</v>
      </c>
      <c r="J641" s="13"/>
      <c r="K641" s="13"/>
      <c r="L641" s="4">
        <v>3</v>
      </c>
      <c r="M641" s="14">
        <f>239*(1-P3/100)</f>
        <v>239</v>
      </c>
      <c r="N641" s="15"/>
      <c r="O641" s="13">
        <f>M641*N641</f>
        <v>0</v>
      </c>
      <c r="P641" s="13">
        <v>0</v>
      </c>
      <c r="Q641" s="13">
        <v>0</v>
      </c>
      <c r="R641" s="24"/>
      <c r="S641" s="25" t="s">
        <v>2711</v>
      </c>
      <c r="T641" s="25" t="s">
        <v>94</v>
      </c>
      <c r="U641" s="5"/>
      <c r="V641" s="5"/>
      <c r="W641" s="5" t="s">
        <v>46</v>
      </c>
      <c r="X641" s="5"/>
      <c r="Y641" s="5"/>
      <c r="Z641" s="5" t="str">
        <f>HYPERLINK("https://knigipp.ru/api/getInfo/image/a581778e-0944-11ef-a25d-00155d82e908")</f>
        <v>https://knigipp.ru/api/getInfo/image/a581778e-0944-11ef-a25d-00155d82e908</v>
      </c>
      <c r="AA641" s="33">
        <v>96</v>
      </c>
      <c r="AB641" s="5"/>
      <c r="AC641" s="5" t="s">
        <v>48</v>
      </c>
      <c r="AD641" s="5"/>
      <c r="AE641" s="5" t="s">
        <v>49</v>
      </c>
      <c r="AF641" s="5"/>
      <c r="AG641" s="5"/>
      <c r="AH641" s="5" t="s">
        <v>2695</v>
      </c>
    </row>
    <row r="642" spans="2:34" ht="22.95" customHeight="1" outlineLevel="2" x14ac:dyDescent="0.2">
      <c r="B642" s="73" t="s">
        <v>2712</v>
      </c>
      <c r="C642" s="73"/>
      <c r="D642" s="73"/>
    </row>
    <row r="643" spans="2:34" ht="22.95" customHeight="1" outlineLevel="3" x14ac:dyDescent="0.2">
      <c r="B643" s="74" t="s">
        <v>2713</v>
      </c>
      <c r="C643" s="74"/>
      <c r="D643" s="74"/>
    </row>
    <row r="644" spans="2:34" ht="21" customHeight="1" outlineLevel="4" x14ac:dyDescent="0.2">
      <c r="B644" s="4">
        <v>476</v>
      </c>
      <c r="C644" s="5" t="s">
        <v>2714</v>
      </c>
      <c r="D644" s="5" t="s">
        <v>2715</v>
      </c>
      <c r="E644" s="6" t="s">
        <v>2716</v>
      </c>
      <c r="F644" s="10"/>
      <c r="G644" s="11" t="s">
        <v>2717</v>
      </c>
      <c r="H644" s="12">
        <v>16</v>
      </c>
      <c r="I644" s="13" t="s">
        <v>371</v>
      </c>
      <c r="J644" s="13"/>
      <c r="K644" s="13"/>
      <c r="L644" s="4">
        <v>3</v>
      </c>
      <c r="M644" s="14">
        <f>247*(1-P3/100)</f>
        <v>247</v>
      </c>
      <c r="N644" s="15"/>
      <c r="O644" s="13">
        <f>M644*N644</f>
        <v>0</v>
      </c>
      <c r="P644" s="22">
        <f>0.208*N644</f>
        <v>0</v>
      </c>
      <c r="Q644" s="23">
        <f>0.00045*N644</f>
        <v>0</v>
      </c>
      <c r="R644" s="24"/>
      <c r="S644" s="25" t="s">
        <v>2718</v>
      </c>
      <c r="T644" s="25" t="s">
        <v>94</v>
      </c>
      <c r="U644" s="5"/>
      <c r="V644" s="5"/>
      <c r="W644" s="5" t="s">
        <v>46</v>
      </c>
      <c r="X644" s="5"/>
      <c r="Y644" s="5"/>
      <c r="Z644" s="5" t="str">
        <f>HYPERLINK("https://knigipp.ru/api/getInfo/image/1ff94417-d872-11ed-a232-00155d82e902")</f>
        <v>https://knigipp.ru/api/getInfo/image/1ff94417-d872-11ed-a232-00155d82e902</v>
      </c>
      <c r="AA644" s="33">
        <v>112</v>
      </c>
      <c r="AB644" s="5" t="s">
        <v>598</v>
      </c>
      <c r="AC644" s="5" t="s">
        <v>86</v>
      </c>
      <c r="AD644" s="5"/>
      <c r="AE644" s="5" t="s">
        <v>49</v>
      </c>
      <c r="AF644" s="5"/>
      <c r="AG644" s="5"/>
      <c r="AH644" s="5" t="s">
        <v>2408</v>
      </c>
    </row>
    <row r="645" spans="2:34" ht="21" customHeight="1" outlineLevel="4" x14ac:dyDescent="0.2">
      <c r="B645" s="4">
        <v>477</v>
      </c>
      <c r="C645" s="5" t="s">
        <v>2719</v>
      </c>
      <c r="D645" s="5" t="s">
        <v>2720</v>
      </c>
      <c r="E645" s="6" t="s">
        <v>2721</v>
      </c>
      <c r="F645" s="10"/>
      <c r="G645" s="11" t="s">
        <v>2722</v>
      </c>
      <c r="H645" s="12">
        <v>16</v>
      </c>
      <c r="I645" s="13" t="s">
        <v>41</v>
      </c>
      <c r="J645" s="13"/>
      <c r="K645" s="13"/>
      <c r="L645" s="4">
        <v>3</v>
      </c>
      <c r="M645" s="14">
        <f>247*(1-P3/100)</f>
        <v>247</v>
      </c>
      <c r="N645" s="15"/>
      <c r="O645" s="13">
        <f>M645*N645</f>
        <v>0</v>
      </c>
      <c r="P645" s="22">
        <f>4.527*N645</f>
        <v>0</v>
      </c>
      <c r="Q645" s="23">
        <f>0.04438*N645</f>
        <v>0</v>
      </c>
      <c r="R645" s="24"/>
      <c r="S645" s="25" t="s">
        <v>2723</v>
      </c>
      <c r="T645" s="25" t="s">
        <v>94</v>
      </c>
      <c r="U645" s="5"/>
      <c r="V645" s="5"/>
      <c r="W645" s="5" t="s">
        <v>46</v>
      </c>
      <c r="X645" s="5"/>
      <c r="Y645" s="5"/>
      <c r="Z645" s="5" t="str">
        <f>HYPERLINK("https://knigipp.ru/api/getInfo/image/5b09c583-d872-11ed-a232-00155d82e902")</f>
        <v>https://knigipp.ru/api/getInfo/image/5b09c583-d872-11ed-a232-00155d82e902</v>
      </c>
      <c r="AA645" s="33">
        <v>112</v>
      </c>
      <c r="AB645" s="5" t="s">
        <v>598</v>
      </c>
      <c r="AC645" s="5" t="s">
        <v>86</v>
      </c>
      <c r="AD645" s="5"/>
      <c r="AE645" s="5" t="s">
        <v>49</v>
      </c>
      <c r="AF645" s="5"/>
      <c r="AG645" s="5"/>
      <c r="AH645" s="5" t="s">
        <v>2408</v>
      </c>
    </row>
    <row r="646" spans="2:34" ht="22.95" customHeight="1" outlineLevel="3" x14ac:dyDescent="0.2">
      <c r="B646" s="74" t="s">
        <v>2724</v>
      </c>
      <c r="C646" s="74"/>
      <c r="D646" s="74"/>
    </row>
    <row r="647" spans="2:34" ht="21" customHeight="1" outlineLevel="4" x14ac:dyDescent="0.2">
      <c r="B647" s="4">
        <v>478</v>
      </c>
      <c r="C647" s="5" t="s">
        <v>2725</v>
      </c>
      <c r="D647" s="5" t="s">
        <v>2726</v>
      </c>
      <c r="E647" s="6" t="s">
        <v>2727</v>
      </c>
      <c r="F647" s="10"/>
      <c r="G647" s="11" t="s">
        <v>2728</v>
      </c>
      <c r="H647" s="12">
        <v>10</v>
      </c>
      <c r="I647" s="13" t="s">
        <v>41</v>
      </c>
      <c r="J647" s="13"/>
      <c r="K647" s="13"/>
      <c r="L647" s="4">
        <v>2</v>
      </c>
      <c r="M647" s="14">
        <f>299*(1-P3/100)</f>
        <v>299</v>
      </c>
      <c r="N647" s="15"/>
      <c r="O647" s="13">
        <f>M647*N647</f>
        <v>0</v>
      </c>
      <c r="P647" s="32">
        <f>0.21*N647</f>
        <v>0</v>
      </c>
      <c r="Q647" s="30">
        <f>0.0002*N647</f>
        <v>0</v>
      </c>
      <c r="R647" s="24"/>
      <c r="S647" s="25" t="s">
        <v>2729</v>
      </c>
      <c r="T647" s="25" t="s">
        <v>94</v>
      </c>
      <c r="U647" s="5"/>
      <c r="V647" s="5" t="s">
        <v>2730</v>
      </c>
      <c r="W647" s="5" t="s">
        <v>2731</v>
      </c>
      <c r="X647" s="5"/>
      <c r="Y647" s="5"/>
      <c r="Z647" s="5" t="str">
        <f>HYPERLINK("https://knigipp.ru/api/getInfo/image/2763a876-78ae-11ee-a248-00155d82e902")</f>
        <v>https://knigipp.ru/api/getInfo/image/2763a876-78ae-11ee-a248-00155d82e902</v>
      </c>
      <c r="AA647" s="33">
        <v>96</v>
      </c>
      <c r="AB647" s="5" t="s">
        <v>598</v>
      </c>
      <c r="AC647" s="5" t="s">
        <v>86</v>
      </c>
      <c r="AD647" s="5"/>
      <c r="AE647" s="5" t="s">
        <v>49</v>
      </c>
      <c r="AF647" s="5"/>
      <c r="AG647" s="5"/>
      <c r="AH647" s="5" t="s">
        <v>2282</v>
      </c>
    </row>
    <row r="648" spans="2:34" ht="22.95" customHeight="1" outlineLevel="3" x14ac:dyDescent="0.2">
      <c r="B648" s="74" t="s">
        <v>2732</v>
      </c>
      <c r="C648" s="74"/>
      <c r="D648" s="74"/>
    </row>
    <row r="649" spans="2:34" ht="21" customHeight="1" outlineLevel="4" x14ac:dyDescent="0.2">
      <c r="B649" s="4">
        <v>479</v>
      </c>
      <c r="C649" s="5" t="s">
        <v>2733</v>
      </c>
      <c r="D649" s="5" t="s">
        <v>2734</v>
      </c>
      <c r="E649" s="6" t="s">
        <v>2735</v>
      </c>
      <c r="F649" s="10"/>
      <c r="G649" s="11" t="s">
        <v>2736</v>
      </c>
      <c r="H649" s="12">
        <v>20</v>
      </c>
      <c r="I649" s="13" t="s">
        <v>41</v>
      </c>
      <c r="J649" s="13"/>
      <c r="K649" s="13"/>
      <c r="L649" s="4">
        <v>2</v>
      </c>
      <c r="M649" s="14">
        <f>299*(1-P3/100)</f>
        <v>299</v>
      </c>
      <c r="N649" s="15"/>
      <c r="O649" s="13">
        <f>M649*N649</f>
        <v>0</v>
      </c>
      <c r="P649" s="22">
        <f>0.227*N649</f>
        <v>0</v>
      </c>
      <c r="Q649" s="23">
        <f>0.00035*N649</f>
        <v>0</v>
      </c>
      <c r="R649" s="24"/>
      <c r="S649" s="25" t="s">
        <v>2737</v>
      </c>
      <c r="T649" s="25" t="s">
        <v>94</v>
      </c>
      <c r="U649" s="5"/>
      <c r="V649" s="5" t="s">
        <v>2738</v>
      </c>
      <c r="W649" s="5" t="s">
        <v>46</v>
      </c>
      <c r="X649" s="5"/>
      <c r="Y649" s="5"/>
      <c r="Z649" s="5" t="str">
        <f>HYPERLINK("https://knigipp.ru/api/getInfo/image/b43fa1b0-d287-11ec-a212-ac1f6b442185")</f>
        <v>https://knigipp.ru/api/getInfo/image/b43fa1b0-d287-11ec-a212-ac1f6b442185</v>
      </c>
      <c r="AA649" s="33">
        <v>112</v>
      </c>
      <c r="AB649" s="5"/>
      <c r="AC649" s="5" t="s">
        <v>86</v>
      </c>
      <c r="AD649" s="5"/>
      <c r="AE649" s="5" t="s">
        <v>49</v>
      </c>
      <c r="AF649" s="5"/>
      <c r="AG649" s="5"/>
      <c r="AH649" s="5" t="s">
        <v>2739</v>
      </c>
    </row>
    <row r="650" spans="2:34" ht="21" customHeight="1" outlineLevel="4" x14ac:dyDescent="0.2">
      <c r="B650" s="4">
        <v>480</v>
      </c>
      <c r="C650" s="5" t="s">
        <v>2740</v>
      </c>
      <c r="D650" s="5" t="s">
        <v>2741</v>
      </c>
      <c r="E650" s="6" t="s">
        <v>2742</v>
      </c>
      <c r="F650" s="10"/>
      <c r="G650" s="11" t="s">
        <v>2736</v>
      </c>
      <c r="H650" s="12">
        <v>20</v>
      </c>
      <c r="I650" s="13" t="s">
        <v>41</v>
      </c>
      <c r="J650" s="13"/>
      <c r="K650" s="13"/>
      <c r="L650" s="4">
        <v>2</v>
      </c>
      <c r="M650" s="14">
        <f>299*(1-P3/100)</f>
        <v>299</v>
      </c>
      <c r="N650" s="15"/>
      <c r="O650" s="13">
        <f>M650*N650</f>
        <v>0</v>
      </c>
      <c r="P650" s="22">
        <f>0.232*N650</f>
        <v>0</v>
      </c>
      <c r="Q650" s="23">
        <f>0.00024*N650</f>
        <v>0</v>
      </c>
      <c r="R650" s="24"/>
      <c r="S650" s="25" t="s">
        <v>2743</v>
      </c>
      <c r="T650" s="25" t="s">
        <v>94</v>
      </c>
      <c r="U650" s="5"/>
      <c r="V650" s="5"/>
      <c r="W650" s="5" t="s">
        <v>46</v>
      </c>
      <c r="X650" s="5"/>
      <c r="Y650" s="5"/>
      <c r="Z650" s="5" t="str">
        <f>HYPERLINK("https://knigipp.ru/api/getInfo/image/010126fc-d289-11ec-a212-ac1f6b442185")</f>
        <v>https://knigipp.ru/api/getInfo/image/010126fc-d289-11ec-a212-ac1f6b442185</v>
      </c>
      <c r="AA650" s="33">
        <v>112</v>
      </c>
      <c r="AB650" s="5"/>
      <c r="AC650" s="5" t="s">
        <v>86</v>
      </c>
      <c r="AD650" s="5"/>
      <c r="AE650" s="5" t="s">
        <v>49</v>
      </c>
      <c r="AF650" s="5"/>
      <c r="AG650" s="5"/>
      <c r="AH650" s="5" t="s">
        <v>2739</v>
      </c>
    </row>
    <row r="651" spans="2:34" ht="22.95" customHeight="1" outlineLevel="2" x14ac:dyDescent="0.2">
      <c r="B651" s="73" t="s">
        <v>2744</v>
      </c>
      <c r="C651" s="73"/>
      <c r="D651" s="73"/>
    </row>
    <row r="652" spans="2:34" ht="22.95" customHeight="1" outlineLevel="3" x14ac:dyDescent="0.2">
      <c r="B652" s="74" t="s">
        <v>2745</v>
      </c>
      <c r="C652" s="74"/>
      <c r="D652" s="74"/>
    </row>
    <row r="653" spans="2:34" ht="21" customHeight="1" outlineLevel="4" x14ac:dyDescent="0.2">
      <c r="B653" s="4">
        <v>481</v>
      </c>
      <c r="C653" s="5" t="s">
        <v>2746</v>
      </c>
      <c r="D653" s="5" t="s">
        <v>2747</v>
      </c>
      <c r="E653" s="6" t="s">
        <v>2748</v>
      </c>
      <c r="F653" s="10"/>
      <c r="G653" s="11" t="s">
        <v>2749</v>
      </c>
      <c r="H653" s="12">
        <v>20</v>
      </c>
      <c r="I653" s="13" t="s">
        <v>41</v>
      </c>
      <c r="J653" s="13"/>
      <c r="K653" s="13"/>
      <c r="L653" s="4">
        <v>1</v>
      </c>
      <c r="M653" s="14">
        <f>297*(1-P3/100)</f>
        <v>297</v>
      </c>
      <c r="N653" s="15"/>
      <c r="O653" s="13">
        <f>M653*N653</f>
        <v>0</v>
      </c>
      <c r="P653" s="22">
        <f>0.278*N653</f>
        <v>0</v>
      </c>
      <c r="Q653" s="23">
        <f>0.00031*N653</f>
        <v>0</v>
      </c>
      <c r="R653" s="24"/>
      <c r="S653" s="25" t="s">
        <v>2750</v>
      </c>
      <c r="T653" s="25" t="s">
        <v>94</v>
      </c>
      <c r="U653" s="5"/>
      <c r="V653" s="5"/>
      <c r="W653" s="5" t="s">
        <v>46</v>
      </c>
      <c r="X653" s="5"/>
      <c r="Y653" s="5"/>
      <c r="Z653" s="5" t="str">
        <f>HYPERLINK("https://knigipp.ru/api/getInfo/image/2240e530-734c-11ea-a244-ac1f6b442184")</f>
        <v>https://knigipp.ru/api/getInfo/image/2240e530-734c-11ea-a244-ac1f6b442184</v>
      </c>
      <c r="AA653" s="33">
        <v>80</v>
      </c>
      <c r="AB653" s="5"/>
      <c r="AC653" s="5" t="s">
        <v>48</v>
      </c>
      <c r="AD653" s="5"/>
      <c r="AE653" s="5" t="s">
        <v>49</v>
      </c>
      <c r="AF653" s="5"/>
      <c r="AG653" s="5"/>
      <c r="AH653" s="5" t="s">
        <v>945</v>
      </c>
    </row>
    <row r="654" spans="2:34" ht="21" customHeight="1" outlineLevel="4" x14ac:dyDescent="0.2">
      <c r="B654" s="4">
        <v>482</v>
      </c>
      <c r="C654" s="5" t="s">
        <v>2751</v>
      </c>
      <c r="D654" s="5" t="s">
        <v>2752</v>
      </c>
      <c r="E654" s="6" t="s">
        <v>2753</v>
      </c>
      <c r="F654" s="10"/>
      <c r="G654" s="11" t="s">
        <v>2754</v>
      </c>
      <c r="H654" s="12">
        <v>20</v>
      </c>
      <c r="I654" s="13" t="s">
        <v>41</v>
      </c>
      <c r="J654" s="13"/>
      <c r="K654" s="13"/>
      <c r="L654" s="4">
        <v>1</v>
      </c>
      <c r="M654" s="14">
        <f>299*(1-P3/100)</f>
        <v>299</v>
      </c>
      <c r="N654" s="15"/>
      <c r="O654" s="13">
        <f>M654*N654</f>
        <v>0</v>
      </c>
      <c r="P654" s="32">
        <f>0.25*N654</f>
        <v>0</v>
      </c>
      <c r="Q654" s="30">
        <f>0.0004*N654</f>
        <v>0</v>
      </c>
      <c r="R654" s="24"/>
      <c r="S654" s="25" t="s">
        <v>2755</v>
      </c>
      <c r="T654" s="25" t="s">
        <v>94</v>
      </c>
      <c r="U654" s="5"/>
      <c r="V654" s="5"/>
      <c r="W654" s="5" t="s">
        <v>46</v>
      </c>
      <c r="X654" s="5"/>
      <c r="Y654" s="5"/>
      <c r="Z654" s="5" t="str">
        <f>HYPERLINK("https://knigipp.ru/api/getInfo/image/3751ea42-734d-11ea-a244-ac1f6b442184")</f>
        <v>https://knigipp.ru/api/getInfo/image/3751ea42-734d-11ea-a244-ac1f6b442184</v>
      </c>
      <c r="AA654" s="33">
        <v>80</v>
      </c>
      <c r="AB654" s="5"/>
      <c r="AC654" s="5" t="s">
        <v>86</v>
      </c>
      <c r="AD654" s="5"/>
      <c r="AE654" s="5" t="s">
        <v>49</v>
      </c>
      <c r="AF654" s="5"/>
      <c r="AG654" s="5"/>
      <c r="AH654" s="5" t="s">
        <v>945</v>
      </c>
    </row>
    <row r="655" spans="2:34" ht="21" customHeight="1" outlineLevel="4" x14ac:dyDescent="0.2">
      <c r="B655" s="4">
        <v>483</v>
      </c>
      <c r="C655" s="5" t="s">
        <v>2756</v>
      </c>
      <c r="D655" s="5" t="s">
        <v>2757</v>
      </c>
      <c r="E655" s="6" t="s">
        <v>2758</v>
      </c>
      <c r="F655" s="10"/>
      <c r="G655" s="11" t="s">
        <v>2749</v>
      </c>
      <c r="H655" s="12">
        <v>20</v>
      </c>
      <c r="I655" s="13" t="s">
        <v>41</v>
      </c>
      <c r="J655" s="13"/>
      <c r="K655" s="13"/>
      <c r="L655" s="4">
        <v>1</v>
      </c>
      <c r="M655" s="14">
        <f>251.15*(1-P3/100)</f>
        <v>251.15</v>
      </c>
      <c r="N655" s="15"/>
      <c r="O655" s="13">
        <f>M655*N655</f>
        <v>0</v>
      </c>
      <c r="P655" s="32">
        <f>0.27*N655</f>
        <v>0</v>
      </c>
      <c r="Q655" s="23">
        <f>0.00031*N655</f>
        <v>0</v>
      </c>
      <c r="R655" s="24"/>
      <c r="S655" s="25" t="s">
        <v>2759</v>
      </c>
      <c r="T655" s="25" t="s">
        <v>94</v>
      </c>
      <c r="U655" s="5"/>
      <c r="V655" s="5"/>
      <c r="W655" s="5" t="s">
        <v>46</v>
      </c>
      <c r="X655" s="5"/>
      <c r="Y655" s="5"/>
      <c r="Z655" s="5" t="str">
        <f>HYPERLINK("https://knigipp.ru/api/getInfo/image/021787c9-734c-11ea-a244-ac1f6b442184")</f>
        <v>https://knigipp.ru/api/getInfo/image/021787c9-734c-11ea-a244-ac1f6b442184</v>
      </c>
      <c r="AA655" s="33">
        <v>80</v>
      </c>
      <c r="AB655" s="5"/>
      <c r="AC655" s="5" t="s">
        <v>48</v>
      </c>
      <c r="AD655" s="5"/>
      <c r="AE655" s="5" t="s">
        <v>49</v>
      </c>
      <c r="AF655" s="5"/>
      <c r="AG655" s="5"/>
      <c r="AH655" s="5" t="s">
        <v>945</v>
      </c>
    </row>
    <row r="656" spans="2:34" ht="22.95" customHeight="1" outlineLevel="3" x14ac:dyDescent="0.2">
      <c r="B656" s="74" t="s">
        <v>2760</v>
      </c>
      <c r="C656" s="74"/>
      <c r="D656" s="74"/>
    </row>
    <row r="657" spans="2:34" ht="21" customHeight="1" outlineLevel="4" x14ac:dyDescent="0.2">
      <c r="B657" s="4">
        <v>484</v>
      </c>
      <c r="C657" s="5" t="s">
        <v>2761</v>
      </c>
      <c r="D657" s="5" t="s">
        <v>2762</v>
      </c>
      <c r="E657" s="6" t="s">
        <v>2763</v>
      </c>
      <c r="F657" s="10"/>
      <c r="G657" s="11" t="s">
        <v>2764</v>
      </c>
      <c r="H657" s="12">
        <v>25</v>
      </c>
      <c r="I657" s="13" t="s">
        <v>41</v>
      </c>
      <c r="J657" s="13"/>
      <c r="K657" s="13"/>
      <c r="L657" s="4">
        <v>7</v>
      </c>
      <c r="M657" s="14">
        <f>97*(1-P3/100)</f>
        <v>97</v>
      </c>
      <c r="N657" s="15"/>
      <c r="O657" s="13">
        <f>M657*N657</f>
        <v>0</v>
      </c>
      <c r="P657" s="13">
        <v>0</v>
      </c>
      <c r="Q657" s="13">
        <v>0</v>
      </c>
      <c r="R657" s="24"/>
      <c r="S657" s="25" t="s">
        <v>2765</v>
      </c>
      <c r="T657" s="25" t="s">
        <v>94</v>
      </c>
      <c r="U657" s="5"/>
      <c r="V657" s="5"/>
      <c r="W657" s="5" t="s">
        <v>46</v>
      </c>
      <c r="X657" s="5"/>
      <c r="Y657" s="5"/>
      <c r="Z657" s="5" t="str">
        <f>HYPERLINK("https://knigipp.ru/api/getInfo/image/6b343ea3-9043-11ee-a250-00155d82e908")</f>
        <v>https://knigipp.ru/api/getInfo/image/6b343ea3-9043-11ee-a250-00155d82e908</v>
      </c>
      <c r="AA657" s="33">
        <v>48</v>
      </c>
      <c r="AB657" s="5" t="s">
        <v>47</v>
      </c>
      <c r="AC657" s="5" t="s">
        <v>96</v>
      </c>
      <c r="AD657" s="5"/>
      <c r="AE657" s="5" t="s">
        <v>49</v>
      </c>
      <c r="AF657" s="5"/>
      <c r="AG657" s="5"/>
      <c r="AH657" s="5" t="s">
        <v>50</v>
      </c>
    </row>
    <row r="658" spans="2:34" ht="21" customHeight="1" outlineLevel="4" x14ac:dyDescent="0.2">
      <c r="B658" s="4">
        <v>485</v>
      </c>
      <c r="C658" s="5" t="s">
        <v>2766</v>
      </c>
      <c r="D658" s="5" t="s">
        <v>2767</v>
      </c>
      <c r="E658" s="6" t="s">
        <v>2768</v>
      </c>
      <c r="F658" s="10"/>
      <c r="G658" s="11" t="s">
        <v>2764</v>
      </c>
      <c r="H658" s="12">
        <v>25</v>
      </c>
      <c r="I658" s="13" t="s">
        <v>371</v>
      </c>
      <c r="J658" s="13"/>
      <c r="K658" s="13"/>
      <c r="L658" s="4">
        <v>7</v>
      </c>
      <c r="M658" s="14">
        <f>97*(1-P3/100)</f>
        <v>97</v>
      </c>
      <c r="N658" s="15"/>
      <c r="O658" s="13">
        <f>M658*N658</f>
        <v>0</v>
      </c>
      <c r="P658" s="22">
        <f>0.106*N658</f>
        <v>0</v>
      </c>
      <c r="Q658" s="23">
        <f>0.00036*N658</f>
        <v>0</v>
      </c>
      <c r="R658" s="24"/>
      <c r="S658" s="25" t="s">
        <v>2769</v>
      </c>
      <c r="T658" s="25" t="s">
        <v>94</v>
      </c>
      <c r="U658" s="5"/>
      <c r="V658" s="5"/>
      <c r="W658" s="5" t="s">
        <v>46</v>
      </c>
      <c r="X658" s="5"/>
      <c r="Y658" s="5"/>
      <c r="Z658" s="5" t="str">
        <f>HYPERLINK("https://knigipp.ru/api/getInfo/image/1245823a-9043-11ee-a250-00155d82e908")</f>
        <v>https://knigipp.ru/api/getInfo/image/1245823a-9043-11ee-a250-00155d82e908</v>
      </c>
      <c r="AA658" s="33">
        <v>48</v>
      </c>
      <c r="AB658" s="5" t="s">
        <v>47</v>
      </c>
      <c r="AC658" s="5" t="s">
        <v>96</v>
      </c>
      <c r="AD658" s="5"/>
      <c r="AE658" s="5" t="s">
        <v>49</v>
      </c>
      <c r="AF658" s="5"/>
      <c r="AG658" s="5"/>
      <c r="AH658" s="5" t="s">
        <v>50</v>
      </c>
    </row>
    <row r="659" spans="2:34" ht="21" customHeight="1" outlineLevel="4" x14ac:dyDescent="0.2">
      <c r="B659" s="4">
        <v>486</v>
      </c>
      <c r="C659" s="5" t="s">
        <v>2770</v>
      </c>
      <c r="D659" s="5" t="s">
        <v>2771</v>
      </c>
      <c r="E659" s="6" t="s">
        <v>2772</v>
      </c>
      <c r="F659" s="10"/>
      <c r="G659" s="11" t="s">
        <v>2764</v>
      </c>
      <c r="H659" s="12">
        <v>25</v>
      </c>
      <c r="I659" s="13" t="s">
        <v>41</v>
      </c>
      <c r="J659" s="13"/>
      <c r="K659" s="13"/>
      <c r="L659" s="4">
        <v>7</v>
      </c>
      <c r="M659" s="14">
        <f>97*(1-P3/100)</f>
        <v>97</v>
      </c>
      <c r="N659" s="15"/>
      <c r="O659" s="13">
        <f>M659*N659</f>
        <v>0</v>
      </c>
      <c r="P659" s="22">
        <f>0.109*N659</f>
        <v>0</v>
      </c>
      <c r="Q659" s="23">
        <f>0.00044*N659</f>
        <v>0</v>
      </c>
      <c r="R659" s="24"/>
      <c r="S659" s="25" t="s">
        <v>2773</v>
      </c>
      <c r="T659" s="25" t="s">
        <v>94</v>
      </c>
      <c r="U659" s="5"/>
      <c r="V659" s="5"/>
      <c r="W659" s="5" t="s">
        <v>46</v>
      </c>
      <c r="X659" s="5"/>
      <c r="Y659" s="5"/>
      <c r="Z659" s="5" t="str">
        <f>HYPERLINK("https://knigipp.ru/api/getInfo/image/9d42681d-9042-11ee-a250-00155d82e908")</f>
        <v>https://knigipp.ru/api/getInfo/image/9d42681d-9042-11ee-a250-00155d82e908</v>
      </c>
      <c r="AA659" s="33">
        <v>48</v>
      </c>
      <c r="AB659" s="5" t="s">
        <v>47</v>
      </c>
      <c r="AC659" s="5" t="s">
        <v>96</v>
      </c>
      <c r="AD659" s="5"/>
      <c r="AE659" s="5" t="s">
        <v>49</v>
      </c>
      <c r="AF659" s="5"/>
      <c r="AG659" s="5"/>
      <c r="AH659" s="5" t="s">
        <v>50</v>
      </c>
    </row>
    <row r="660" spans="2:34" ht="21" customHeight="1" outlineLevel="4" x14ac:dyDescent="0.2">
      <c r="B660" s="4">
        <v>487</v>
      </c>
      <c r="C660" s="5" t="s">
        <v>2774</v>
      </c>
      <c r="D660" s="5" t="s">
        <v>2775</v>
      </c>
      <c r="E660" s="6" t="s">
        <v>2776</v>
      </c>
      <c r="F660" s="10"/>
      <c r="G660" s="11" t="s">
        <v>2764</v>
      </c>
      <c r="H660" s="12">
        <v>25</v>
      </c>
      <c r="I660" s="13" t="s">
        <v>41</v>
      </c>
      <c r="J660" s="13"/>
      <c r="K660" s="13"/>
      <c r="L660" s="4">
        <v>7</v>
      </c>
      <c r="M660" s="14">
        <f>97*(1-P3/100)</f>
        <v>97</v>
      </c>
      <c r="N660" s="15"/>
      <c r="O660" s="13">
        <f>M660*N660</f>
        <v>0</v>
      </c>
      <c r="P660" s="22">
        <f>0.106*N660</f>
        <v>0</v>
      </c>
      <c r="Q660" s="23">
        <f>0.00048*N660</f>
        <v>0</v>
      </c>
      <c r="R660" s="24"/>
      <c r="S660" s="25" t="s">
        <v>2777</v>
      </c>
      <c r="T660" s="25" t="s">
        <v>94</v>
      </c>
      <c r="U660" s="5"/>
      <c r="V660" s="5"/>
      <c r="W660" s="5" t="s">
        <v>46</v>
      </c>
      <c r="X660" s="5"/>
      <c r="Y660" s="5"/>
      <c r="Z660" s="5" t="str">
        <f>HYPERLINK("https://knigipp.ru/api/getInfo/image/c0884b4e-9043-11ee-a250-00155d82e908")</f>
        <v>https://knigipp.ru/api/getInfo/image/c0884b4e-9043-11ee-a250-00155d82e908</v>
      </c>
      <c r="AA660" s="33">
        <v>48</v>
      </c>
      <c r="AB660" s="5" t="s">
        <v>47</v>
      </c>
      <c r="AC660" s="5" t="s">
        <v>96</v>
      </c>
      <c r="AD660" s="5"/>
      <c r="AE660" s="5" t="s">
        <v>49</v>
      </c>
      <c r="AF660" s="5"/>
      <c r="AG660" s="5"/>
      <c r="AH660" s="5" t="s">
        <v>50</v>
      </c>
    </row>
    <row r="661" spans="2:34" ht="22.95" customHeight="1" outlineLevel="3" x14ac:dyDescent="0.2">
      <c r="B661" s="74" t="s">
        <v>2778</v>
      </c>
      <c r="C661" s="74"/>
      <c r="D661" s="74"/>
    </row>
    <row r="662" spans="2:34" ht="21" customHeight="1" outlineLevel="4" x14ac:dyDescent="0.2">
      <c r="B662" s="4">
        <v>488</v>
      </c>
      <c r="C662" s="5" t="s">
        <v>2779</v>
      </c>
      <c r="D662" s="5" t="s">
        <v>2780</v>
      </c>
      <c r="E662" s="6" t="s">
        <v>2781</v>
      </c>
      <c r="F662" s="10"/>
      <c r="G662" s="11" t="s">
        <v>2782</v>
      </c>
      <c r="H662" s="12">
        <v>20</v>
      </c>
      <c r="I662" s="13" t="s">
        <v>371</v>
      </c>
      <c r="J662" s="13"/>
      <c r="K662" s="13"/>
      <c r="L662" s="4">
        <v>4</v>
      </c>
      <c r="M662" s="14">
        <f>159*(1-P3/100)</f>
        <v>159</v>
      </c>
      <c r="N662" s="15"/>
      <c r="O662" s="13">
        <f>M662*N662</f>
        <v>0</v>
      </c>
      <c r="P662" s="32">
        <f>0.23*N662</f>
        <v>0</v>
      </c>
      <c r="Q662" s="23">
        <f>0.00022*N662</f>
        <v>0</v>
      </c>
      <c r="R662" s="24"/>
      <c r="S662" s="25" t="s">
        <v>2783</v>
      </c>
      <c r="T662" s="25" t="s">
        <v>94</v>
      </c>
      <c r="U662" s="5"/>
      <c r="V662" s="5"/>
      <c r="W662" s="5" t="s">
        <v>46</v>
      </c>
      <c r="X662" s="5"/>
      <c r="Y662" s="5"/>
      <c r="Z662" s="5" t="str">
        <f>HYPERLINK("https://knigipp.ru/api/getInfo/image/ce42ea81-177d-11eb-a25d-ac1f6b442184")</f>
        <v>https://knigipp.ru/api/getInfo/image/ce42ea81-177d-11eb-a25d-ac1f6b442184</v>
      </c>
      <c r="AA662" s="33">
        <v>96</v>
      </c>
      <c r="AB662" s="5"/>
      <c r="AC662" s="5" t="s">
        <v>48</v>
      </c>
      <c r="AD662" s="5"/>
      <c r="AE662" s="5" t="s">
        <v>49</v>
      </c>
      <c r="AF662" s="5"/>
      <c r="AG662" s="5"/>
      <c r="AH662" s="5" t="s">
        <v>2784</v>
      </c>
    </row>
    <row r="663" spans="2:34" ht="21" customHeight="1" outlineLevel="4" x14ac:dyDescent="0.2">
      <c r="B663" s="4">
        <v>489</v>
      </c>
      <c r="C663" s="5" t="s">
        <v>2785</v>
      </c>
      <c r="D663" s="5" t="s">
        <v>2786</v>
      </c>
      <c r="E663" s="6" t="s">
        <v>2787</v>
      </c>
      <c r="F663" s="10"/>
      <c r="G663" s="11" t="s">
        <v>2782</v>
      </c>
      <c r="H663" s="12">
        <v>20</v>
      </c>
      <c r="I663" s="13" t="s">
        <v>41</v>
      </c>
      <c r="J663" s="13"/>
      <c r="K663" s="13"/>
      <c r="L663" s="4">
        <v>4</v>
      </c>
      <c r="M663" s="14">
        <f>159*(1-P3/100)</f>
        <v>159</v>
      </c>
      <c r="N663" s="15"/>
      <c r="O663" s="13">
        <f>M663*N663</f>
        <v>0</v>
      </c>
      <c r="P663" s="13">
        <v>0</v>
      </c>
      <c r="Q663" s="13">
        <v>0</v>
      </c>
      <c r="R663" s="24"/>
      <c r="S663" s="25" t="s">
        <v>2788</v>
      </c>
      <c r="T663" s="25" t="s">
        <v>94</v>
      </c>
      <c r="U663" s="5"/>
      <c r="V663" s="5"/>
      <c r="W663" s="5" t="s">
        <v>46</v>
      </c>
      <c r="X663" s="5"/>
      <c r="Y663" s="5"/>
      <c r="Z663" s="5" t="str">
        <f>HYPERLINK("https://knigipp.ru/api/getInfo/image/70b04dee-3b11-11ec-a20f-ac1f6b442185")</f>
        <v>https://knigipp.ru/api/getInfo/image/70b04dee-3b11-11ec-a20f-ac1f6b442185</v>
      </c>
      <c r="AA663" s="33">
        <v>96</v>
      </c>
      <c r="AB663" s="5"/>
      <c r="AC663" s="5" t="s">
        <v>48</v>
      </c>
      <c r="AD663" s="5"/>
      <c r="AE663" s="5" t="s">
        <v>49</v>
      </c>
      <c r="AF663" s="5"/>
      <c r="AG663" s="5"/>
      <c r="AH663" s="5" t="s">
        <v>2784</v>
      </c>
    </row>
    <row r="664" spans="2:34" ht="21" customHeight="1" outlineLevel="4" x14ac:dyDescent="0.2">
      <c r="B664" s="4">
        <v>490</v>
      </c>
      <c r="C664" s="5" t="s">
        <v>2789</v>
      </c>
      <c r="D664" s="5" t="s">
        <v>2790</v>
      </c>
      <c r="E664" s="6" t="s">
        <v>2791</v>
      </c>
      <c r="F664" s="10"/>
      <c r="G664" s="11" t="s">
        <v>2782</v>
      </c>
      <c r="H664" s="12">
        <v>20</v>
      </c>
      <c r="I664" s="13" t="s">
        <v>41</v>
      </c>
      <c r="J664" s="13"/>
      <c r="K664" s="13"/>
      <c r="L664" s="4">
        <v>4</v>
      </c>
      <c r="M664" s="14">
        <f>159*(1-P3/100)</f>
        <v>159</v>
      </c>
      <c r="N664" s="15"/>
      <c r="O664" s="13">
        <f>M664*N664</f>
        <v>0</v>
      </c>
      <c r="P664" s="13">
        <v>0</v>
      </c>
      <c r="Q664" s="13">
        <v>0</v>
      </c>
      <c r="R664" s="24"/>
      <c r="S664" s="25" t="s">
        <v>2792</v>
      </c>
      <c r="T664" s="25" t="s">
        <v>94</v>
      </c>
      <c r="U664" s="5"/>
      <c r="V664" s="5"/>
      <c r="W664" s="5" t="s">
        <v>46</v>
      </c>
      <c r="X664" s="5"/>
      <c r="Y664" s="5"/>
      <c r="Z664" s="5" t="str">
        <f>HYPERLINK("https://knigipp.ru/api/getInfo/image/49903b01-3b11-11ec-a20f-ac1f6b442185")</f>
        <v>https://knigipp.ru/api/getInfo/image/49903b01-3b11-11ec-a20f-ac1f6b442185</v>
      </c>
      <c r="AA664" s="33">
        <v>96</v>
      </c>
      <c r="AB664" s="5"/>
      <c r="AC664" s="5" t="s">
        <v>48</v>
      </c>
      <c r="AD664" s="5"/>
      <c r="AE664" s="5" t="s">
        <v>49</v>
      </c>
      <c r="AF664" s="5"/>
      <c r="AG664" s="5"/>
      <c r="AH664" s="5" t="s">
        <v>2784</v>
      </c>
    </row>
    <row r="665" spans="2:34" ht="21" customHeight="1" outlineLevel="4" x14ac:dyDescent="0.2">
      <c r="B665" s="4">
        <v>491</v>
      </c>
      <c r="C665" s="5" t="s">
        <v>2793</v>
      </c>
      <c r="D665" s="5" t="s">
        <v>2794</v>
      </c>
      <c r="E665" s="6" t="s">
        <v>2795</v>
      </c>
      <c r="F665" s="10"/>
      <c r="G665" s="11" t="s">
        <v>2782</v>
      </c>
      <c r="H665" s="12">
        <v>20</v>
      </c>
      <c r="I665" s="13" t="s">
        <v>371</v>
      </c>
      <c r="J665" s="13"/>
      <c r="K665" s="13"/>
      <c r="L665" s="4">
        <v>4</v>
      </c>
      <c r="M665" s="14">
        <f>159*(1-P3/100)</f>
        <v>159</v>
      </c>
      <c r="N665" s="15"/>
      <c r="O665" s="13">
        <f>M665*N665</f>
        <v>0</v>
      </c>
      <c r="P665" s="32">
        <f>0.23*N665</f>
        <v>0</v>
      </c>
      <c r="Q665" s="23">
        <f>0.00022*N665</f>
        <v>0</v>
      </c>
      <c r="R665" s="24"/>
      <c r="S665" s="25" t="s">
        <v>2796</v>
      </c>
      <c r="T665" s="25" t="s">
        <v>94</v>
      </c>
      <c r="U665" s="5"/>
      <c r="V665" s="5"/>
      <c r="W665" s="5" t="s">
        <v>46</v>
      </c>
      <c r="X665" s="5"/>
      <c r="Y665" s="5"/>
      <c r="Z665" s="5" t="str">
        <f>HYPERLINK("https://knigipp.ru/api/getInfo/image/e6bac29e-177d-11eb-a25d-ac1f6b442184")</f>
        <v>https://knigipp.ru/api/getInfo/image/e6bac29e-177d-11eb-a25d-ac1f6b442184</v>
      </c>
      <c r="AA665" s="33">
        <v>96</v>
      </c>
      <c r="AB665" s="5"/>
      <c r="AC665" s="5" t="s">
        <v>48</v>
      </c>
      <c r="AD665" s="5"/>
      <c r="AE665" s="5" t="s">
        <v>49</v>
      </c>
      <c r="AF665" s="5"/>
      <c r="AG665" s="5"/>
      <c r="AH665" s="5" t="s">
        <v>2784</v>
      </c>
    </row>
    <row r="666" spans="2:34" ht="21" customHeight="1" outlineLevel="4" x14ac:dyDescent="0.2">
      <c r="B666" s="4">
        <v>492</v>
      </c>
      <c r="C666" s="5" t="s">
        <v>2797</v>
      </c>
      <c r="D666" s="5" t="s">
        <v>2798</v>
      </c>
      <c r="E666" s="6" t="s">
        <v>2799</v>
      </c>
      <c r="F666" s="10"/>
      <c r="G666" s="11" t="s">
        <v>2782</v>
      </c>
      <c r="H666" s="12">
        <v>20</v>
      </c>
      <c r="I666" s="13" t="s">
        <v>41</v>
      </c>
      <c r="J666" s="13"/>
      <c r="K666" s="13"/>
      <c r="L666" s="4">
        <v>4</v>
      </c>
      <c r="M666" s="14">
        <f>159*(1-P3/100)</f>
        <v>159</v>
      </c>
      <c r="N666" s="15"/>
      <c r="O666" s="13">
        <f>M666*N666</f>
        <v>0</v>
      </c>
      <c r="P666" s="32">
        <f>0.23*N666</f>
        <v>0</v>
      </c>
      <c r="Q666" s="23">
        <f>0.00022*N666</f>
        <v>0</v>
      </c>
      <c r="R666" s="24"/>
      <c r="S666" s="25" t="s">
        <v>2800</v>
      </c>
      <c r="T666" s="25" t="s">
        <v>94</v>
      </c>
      <c r="U666" s="5"/>
      <c r="V666" s="5"/>
      <c r="W666" s="5" t="s">
        <v>46</v>
      </c>
      <c r="X666" s="5"/>
      <c r="Y666" s="5"/>
      <c r="Z666" s="5" t="str">
        <f>HYPERLINK("https://knigipp.ru/api/getInfo/image/fc8b0c1c-177d-11eb-a25d-ac1f6b442184")</f>
        <v>https://knigipp.ru/api/getInfo/image/fc8b0c1c-177d-11eb-a25d-ac1f6b442184</v>
      </c>
      <c r="AA666" s="33">
        <v>96</v>
      </c>
      <c r="AB666" s="5"/>
      <c r="AC666" s="5" t="s">
        <v>48</v>
      </c>
      <c r="AD666" s="5"/>
      <c r="AE666" s="5" t="s">
        <v>49</v>
      </c>
      <c r="AF666" s="5"/>
      <c r="AG666" s="5"/>
      <c r="AH666" s="5" t="s">
        <v>2784</v>
      </c>
    </row>
    <row r="667" spans="2:34" ht="22.95" customHeight="1" outlineLevel="3" x14ac:dyDescent="0.2">
      <c r="B667" s="74" t="s">
        <v>2801</v>
      </c>
      <c r="C667" s="74"/>
      <c r="D667" s="74"/>
    </row>
    <row r="668" spans="2:34" ht="21" customHeight="1" outlineLevel="4" x14ac:dyDescent="0.2">
      <c r="B668" s="4">
        <v>493</v>
      </c>
      <c r="C668" s="5" t="s">
        <v>2802</v>
      </c>
      <c r="D668" s="5" t="s">
        <v>2803</v>
      </c>
      <c r="E668" s="6" t="s">
        <v>2804</v>
      </c>
      <c r="F668" s="10"/>
      <c r="G668" s="11" t="s">
        <v>2805</v>
      </c>
      <c r="H668" s="12">
        <v>25</v>
      </c>
      <c r="I668" s="13" t="s">
        <v>41</v>
      </c>
      <c r="J668" s="13"/>
      <c r="K668" s="13"/>
      <c r="L668" s="4">
        <v>7</v>
      </c>
      <c r="M668" s="14">
        <f>99*(1-P3/100)</f>
        <v>99</v>
      </c>
      <c r="N668" s="15"/>
      <c r="O668" s="13">
        <f>M668*N668</f>
        <v>0</v>
      </c>
      <c r="P668" s="22">
        <f>0.108*N668</f>
        <v>0</v>
      </c>
      <c r="Q668" s="23">
        <f>0.00029*N668</f>
        <v>0</v>
      </c>
      <c r="R668" s="24"/>
      <c r="S668" s="25" t="s">
        <v>2806</v>
      </c>
      <c r="T668" s="25" t="s">
        <v>43</v>
      </c>
      <c r="U668" s="5"/>
      <c r="V668" s="5"/>
      <c r="W668" s="5" t="s">
        <v>46</v>
      </c>
      <c r="X668" s="5"/>
      <c r="Y668" s="5"/>
      <c r="Z668" s="5" t="str">
        <f>HYPERLINK("https://knigipp.ru/api/getInfo/image/28f5250d-623b-11eb-a26d-ac1f6b442184")</f>
        <v>https://knigipp.ru/api/getInfo/image/28f5250d-623b-11eb-a26d-ac1f6b442184</v>
      </c>
      <c r="AA668" s="33">
        <v>48</v>
      </c>
      <c r="AB668" s="5"/>
      <c r="AC668" s="5" t="s">
        <v>96</v>
      </c>
      <c r="AD668" s="5"/>
      <c r="AE668" s="5" t="s">
        <v>49</v>
      </c>
      <c r="AF668" s="5"/>
      <c r="AG668" s="5"/>
      <c r="AH668" s="5" t="s">
        <v>2807</v>
      </c>
    </row>
    <row r="669" spans="2:34" ht="22.95" customHeight="1" outlineLevel="3" x14ac:dyDescent="0.2">
      <c r="B669" s="74" t="s">
        <v>2808</v>
      </c>
      <c r="C669" s="74"/>
      <c r="D669" s="74"/>
    </row>
    <row r="670" spans="2:34" ht="21" customHeight="1" outlineLevel="4" x14ac:dyDescent="0.2">
      <c r="B670" s="4">
        <v>494</v>
      </c>
      <c r="C670" s="5" t="s">
        <v>2809</v>
      </c>
      <c r="D670" s="5" t="s">
        <v>2810</v>
      </c>
      <c r="E670" s="6" t="s">
        <v>2811</v>
      </c>
      <c r="F670" s="10"/>
      <c r="G670" s="11" t="s">
        <v>2812</v>
      </c>
      <c r="H670" s="12">
        <v>50</v>
      </c>
      <c r="I670" s="13" t="s">
        <v>371</v>
      </c>
      <c r="J670" s="13"/>
      <c r="K670" s="13"/>
      <c r="L670" s="4">
        <v>14</v>
      </c>
      <c r="M670" s="14">
        <f>47*(1-P3/100)</f>
        <v>47</v>
      </c>
      <c r="N670" s="15"/>
      <c r="O670" s="13">
        <f>M670*N670</f>
        <v>0</v>
      </c>
      <c r="P670" s="22">
        <f>0.063*N670</f>
        <v>0</v>
      </c>
      <c r="Q670" s="23">
        <f>0.00029*N670</f>
        <v>0</v>
      </c>
      <c r="R670" s="24"/>
      <c r="S670" s="25" t="s">
        <v>2813</v>
      </c>
      <c r="T670" s="25" t="s">
        <v>43</v>
      </c>
      <c r="U670" s="5"/>
      <c r="V670" s="5"/>
      <c r="W670" s="5" t="s">
        <v>46</v>
      </c>
      <c r="X670" s="5"/>
      <c r="Y670" s="5"/>
      <c r="Z670" s="5" t="str">
        <f>HYPERLINK("https://knigipp.ru/api/getInfo/image/45c25c3f-02aa-11ed-a213-ac1f6b442185")</f>
        <v>https://knigipp.ru/api/getInfo/image/45c25c3f-02aa-11ed-a213-ac1f6b442185</v>
      </c>
      <c r="AA670" s="33">
        <v>48</v>
      </c>
      <c r="AB670" s="5"/>
      <c r="AC670" s="5" t="s">
        <v>96</v>
      </c>
      <c r="AD670" s="5"/>
      <c r="AE670" s="5" t="s">
        <v>49</v>
      </c>
      <c r="AF670" s="5"/>
      <c r="AG670" s="5"/>
      <c r="AH670" s="5" t="s">
        <v>2814</v>
      </c>
    </row>
    <row r="671" spans="2:34" ht="21" customHeight="1" outlineLevel="4" x14ac:dyDescent="0.2">
      <c r="B671" s="4">
        <v>495</v>
      </c>
      <c r="C671" s="5" t="s">
        <v>2815</v>
      </c>
      <c r="D671" s="5" t="s">
        <v>2816</v>
      </c>
      <c r="E671" s="6" t="s">
        <v>2817</v>
      </c>
      <c r="F671" s="10"/>
      <c r="G671" s="11" t="s">
        <v>2812</v>
      </c>
      <c r="H671" s="12">
        <v>50</v>
      </c>
      <c r="I671" s="13" t="s">
        <v>41</v>
      </c>
      <c r="J671" s="13"/>
      <c r="K671" s="13"/>
      <c r="L671" s="4">
        <v>14</v>
      </c>
      <c r="M671" s="14">
        <f>47*(1-P3/100)</f>
        <v>47</v>
      </c>
      <c r="N671" s="15"/>
      <c r="O671" s="13">
        <f>M671*N671</f>
        <v>0</v>
      </c>
      <c r="P671" s="22">
        <f>0.061*N671</f>
        <v>0</v>
      </c>
      <c r="Q671" s="23">
        <f>0.00022*N671</f>
        <v>0</v>
      </c>
      <c r="R671" s="24"/>
      <c r="S671" s="25" t="s">
        <v>2818</v>
      </c>
      <c r="T671" s="25" t="s">
        <v>43</v>
      </c>
      <c r="U671" s="5"/>
      <c r="V671" s="5"/>
      <c r="W671" s="5" t="s">
        <v>46</v>
      </c>
      <c r="X671" s="5"/>
      <c r="Y671" s="5"/>
      <c r="Z671" s="5" t="str">
        <f>HYPERLINK("https://knigipp.ru/api/getInfo/image/15f58f54-02aa-11ed-a213-ac1f6b442185")</f>
        <v>https://knigipp.ru/api/getInfo/image/15f58f54-02aa-11ed-a213-ac1f6b442185</v>
      </c>
      <c r="AA671" s="33">
        <v>48</v>
      </c>
      <c r="AB671" s="5"/>
      <c r="AC671" s="5" t="s">
        <v>96</v>
      </c>
      <c r="AD671" s="5"/>
      <c r="AE671" s="5" t="s">
        <v>49</v>
      </c>
      <c r="AF671" s="5"/>
      <c r="AG671" s="5"/>
      <c r="AH671" s="5" t="s">
        <v>2814</v>
      </c>
    </row>
    <row r="672" spans="2:34" ht="22.95" customHeight="1" outlineLevel="2" x14ac:dyDescent="0.2">
      <c r="B672" s="73" t="s">
        <v>2819</v>
      </c>
      <c r="C672" s="73"/>
      <c r="D672" s="73"/>
    </row>
    <row r="673" spans="2:34" ht="22.95" customHeight="1" outlineLevel="3" x14ac:dyDescent="0.2">
      <c r="B673" s="74" t="s">
        <v>2820</v>
      </c>
      <c r="C673" s="74"/>
      <c r="D673" s="74"/>
    </row>
    <row r="674" spans="2:34" ht="21" customHeight="1" outlineLevel="4" x14ac:dyDescent="0.2">
      <c r="B674" s="4">
        <v>496</v>
      </c>
      <c r="C674" s="5" t="s">
        <v>2821</v>
      </c>
      <c r="D674" s="5" t="s">
        <v>2822</v>
      </c>
      <c r="E674" s="6" t="s">
        <v>2823</v>
      </c>
      <c r="F674" s="10"/>
      <c r="G674" s="11" t="s">
        <v>2824</v>
      </c>
      <c r="H674" s="12">
        <v>24</v>
      </c>
      <c r="I674" s="13" t="s">
        <v>41</v>
      </c>
      <c r="J674" s="13"/>
      <c r="K674" s="13"/>
      <c r="L674" s="4">
        <v>2</v>
      </c>
      <c r="M674" s="14">
        <f>277*(1-P3/100)</f>
        <v>277</v>
      </c>
      <c r="N674" s="15"/>
      <c r="O674" s="13">
        <f>M674*N674</f>
        <v>0</v>
      </c>
      <c r="P674" s="22">
        <f>4.899*N674</f>
        <v>0</v>
      </c>
      <c r="Q674" s="23">
        <f>0.01273*N674</f>
        <v>0</v>
      </c>
      <c r="R674" s="24"/>
      <c r="S674" s="25" t="s">
        <v>2825</v>
      </c>
      <c r="T674" s="25" t="s">
        <v>94</v>
      </c>
      <c r="U674" s="5"/>
      <c r="V674" s="5" t="s">
        <v>2826</v>
      </c>
      <c r="W674" s="5" t="s">
        <v>46</v>
      </c>
      <c r="X674" s="5"/>
      <c r="Y674" s="5"/>
      <c r="Z674" s="5" t="str">
        <f>HYPERLINK("https://knigipp.ru/api/getInfo/image/8463973d-6128-11ee-a245-00155d82e902")</f>
        <v>https://knigipp.ru/api/getInfo/image/8463973d-6128-11ee-a245-00155d82e902</v>
      </c>
      <c r="AA674" s="33">
        <v>64</v>
      </c>
      <c r="AB674" s="5" t="s">
        <v>47</v>
      </c>
      <c r="AC674" s="5" t="s">
        <v>86</v>
      </c>
      <c r="AD674" s="5"/>
      <c r="AE674" s="5" t="s">
        <v>49</v>
      </c>
      <c r="AF674" s="5"/>
      <c r="AG674" s="5"/>
      <c r="AH674" s="5" t="s">
        <v>2827</v>
      </c>
    </row>
    <row r="675" spans="2:34" ht="21" customHeight="1" outlineLevel="4" x14ac:dyDescent="0.2">
      <c r="B675" s="4">
        <v>497</v>
      </c>
      <c r="C675" s="5" t="s">
        <v>2828</v>
      </c>
      <c r="D675" s="5" t="s">
        <v>2829</v>
      </c>
      <c r="E675" s="6" t="s">
        <v>2830</v>
      </c>
      <c r="F675" s="10"/>
      <c r="G675" s="11" t="s">
        <v>2824</v>
      </c>
      <c r="H675" s="12">
        <v>24</v>
      </c>
      <c r="I675" s="13" t="s">
        <v>41</v>
      </c>
      <c r="J675" s="13"/>
      <c r="K675" s="13"/>
      <c r="L675" s="4">
        <v>2</v>
      </c>
      <c r="M675" s="14">
        <f>277*(1-P3/100)</f>
        <v>277</v>
      </c>
      <c r="N675" s="15"/>
      <c r="O675" s="13">
        <f>M675*N675</f>
        <v>0</v>
      </c>
      <c r="P675" s="22">
        <f>0.195*N675</f>
        <v>0</v>
      </c>
      <c r="Q675" s="23">
        <f>0.00079*N675</f>
        <v>0</v>
      </c>
      <c r="R675" s="24"/>
      <c r="S675" s="25" t="s">
        <v>2831</v>
      </c>
      <c r="T675" s="25" t="s">
        <v>94</v>
      </c>
      <c r="U675" s="5"/>
      <c r="V675" s="5" t="s">
        <v>2832</v>
      </c>
      <c r="W675" s="5" t="s">
        <v>46</v>
      </c>
      <c r="X675" s="5"/>
      <c r="Y675" s="5"/>
      <c r="Z675" s="5" t="str">
        <f>HYPERLINK("https://knigipp.ru/api/getInfo/image/aaeb17f9-6128-11ee-a245-00155d82e902")</f>
        <v>https://knigipp.ru/api/getInfo/image/aaeb17f9-6128-11ee-a245-00155d82e902</v>
      </c>
      <c r="AA675" s="33">
        <v>64</v>
      </c>
      <c r="AB675" s="5" t="s">
        <v>47</v>
      </c>
      <c r="AC675" s="5" t="s">
        <v>86</v>
      </c>
      <c r="AD675" s="5"/>
      <c r="AE675" s="5" t="s">
        <v>49</v>
      </c>
      <c r="AF675" s="5"/>
      <c r="AG675" s="5"/>
      <c r="AH675" s="5" t="s">
        <v>2827</v>
      </c>
    </row>
    <row r="676" spans="2:34" ht="21" customHeight="1" outlineLevel="4" x14ac:dyDescent="0.2">
      <c r="B676" s="4">
        <v>498</v>
      </c>
      <c r="C676" s="5" t="s">
        <v>2833</v>
      </c>
      <c r="D676" s="5" t="s">
        <v>2834</v>
      </c>
      <c r="E676" s="6" t="s">
        <v>2835</v>
      </c>
      <c r="F676" s="10"/>
      <c r="G676" s="11" t="s">
        <v>2824</v>
      </c>
      <c r="H676" s="12">
        <v>24</v>
      </c>
      <c r="I676" s="13" t="s">
        <v>41</v>
      </c>
      <c r="J676" s="13"/>
      <c r="K676" s="13"/>
      <c r="L676" s="4">
        <v>2</v>
      </c>
      <c r="M676" s="14">
        <f>277*(1-P3/100)</f>
        <v>277</v>
      </c>
      <c r="N676" s="15"/>
      <c r="O676" s="13">
        <f>M676*N676</f>
        <v>0</v>
      </c>
      <c r="P676" s="22">
        <f>0.196*N676</f>
        <v>0</v>
      </c>
      <c r="Q676" s="23">
        <f>0.00092*N676</f>
        <v>0</v>
      </c>
      <c r="R676" s="24"/>
      <c r="S676" s="25" t="s">
        <v>2836</v>
      </c>
      <c r="T676" s="25" t="s">
        <v>94</v>
      </c>
      <c r="U676" s="5"/>
      <c r="V676" s="5" t="s">
        <v>2837</v>
      </c>
      <c r="W676" s="5" t="s">
        <v>46</v>
      </c>
      <c r="X676" s="5"/>
      <c r="Y676" s="5"/>
      <c r="Z676" s="5" t="str">
        <f>HYPERLINK("https://knigipp.ru/api/getInfo/image/fd9a339c-6126-11ee-a245-00155d82e902")</f>
        <v>https://knigipp.ru/api/getInfo/image/fd9a339c-6126-11ee-a245-00155d82e902</v>
      </c>
      <c r="AA676" s="33">
        <v>64</v>
      </c>
      <c r="AB676" s="5" t="s">
        <v>47</v>
      </c>
      <c r="AC676" s="5" t="s">
        <v>86</v>
      </c>
      <c r="AD676" s="5"/>
      <c r="AE676" s="5" t="s">
        <v>49</v>
      </c>
      <c r="AF676" s="5"/>
      <c r="AG676" s="5"/>
      <c r="AH676" s="5" t="s">
        <v>2827</v>
      </c>
    </row>
    <row r="677" spans="2:34" ht="21" customHeight="1" outlineLevel="4" x14ac:dyDescent="0.2">
      <c r="B677" s="4">
        <v>499</v>
      </c>
      <c r="C677" s="5" t="s">
        <v>2838</v>
      </c>
      <c r="D677" s="5" t="s">
        <v>2839</v>
      </c>
      <c r="E677" s="6" t="s">
        <v>2840</v>
      </c>
      <c r="F677" s="10"/>
      <c r="G677" s="11" t="s">
        <v>2824</v>
      </c>
      <c r="H677" s="12">
        <v>24</v>
      </c>
      <c r="I677" s="13" t="s">
        <v>41</v>
      </c>
      <c r="J677" s="13"/>
      <c r="K677" s="13"/>
      <c r="L677" s="4">
        <v>2</v>
      </c>
      <c r="M677" s="14">
        <f>277*(1-P3/100)</f>
        <v>277</v>
      </c>
      <c r="N677" s="15"/>
      <c r="O677" s="13">
        <f>M677*N677</f>
        <v>0</v>
      </c>
      <c r="P677" s="22">
        <f>0.195*N677</f>
        <v>0</v>
      </c>
      <c r="Q677" s="23">
        <f>0.00041*N677</f>
        <v>0</v>
      </c>
      <c r="R677" s="24"/>
      <c r="S677" s="25" t="s">
        <v>2841</v>
      </c>
      <c r="T677" s="25" t="s">
        <v>94</v>
      </c>
      <c r="U677" s="5"/>
      <c r="V677" s="5" t="s">
        <v>2842</v>
      </c>
      <c r="W677" s="5" t="s">
        <v>46</v>
      </c>
      <c r="X677" s="5"/>
      <c r="Y677" s="5"/>
      <c r="Z677" s="5" t="str">
        <f>HYPERLINK("https://knigipp.ru/api/getInfo/image/5e725305-6128-11ee-a245-00155d82e902")</f>
        <v>https://knigipp.ru/api/getInfo/image/5e725305-6128-11ee-a245-00155d82e902</v>
      </c>
      <c r="AA677" s="33">
        <v>64</v>
      </c>
      <c r="AB677" s="5" t="s">
        <v>47</v>
      </c>
      <c r="AC677" s="5" t="s">
        <v>86</v>
      </c>
      <c r="AD677" s="5"/>
      <c r="AE677" s="5" t="s">
        <v>49</v>
      </c>
      <c r="AF677" s="5"/>
      <c r="AG677" s="5"/>
      <c r="AH677" s="5" t="s">
        <v>2827</v>
      </c>
    </row>
    <row r="678" spans="2:34" ht="22.95" customHeight="1" outlineLevel="3" x14ac:dyDescent="0.2">
      <c r="B678" s="74" t="s">
        <v>2843</v>
      </c>
      <c r="C678" s="74"/>
      <c r="D678" s="74"/>
    </row>
    <row r="679" spans="2:34" ht="21" customHeight="1" outlineLevel="4" x14ac:dyDescent="0.2">
      <c r="B679" s="4">
        <v>500</v>
      </c>
      <c r="C679" s="5" t="s">
        <v>2844</v>
      </c>
      <c r="D679" s="5" t="s">
        <v>2845</v>
      </c>
      <c r="E679" s="6" t="s">
        <v>2846</v>
      </c>
      <c r="F679" s="10"/>
      <c r="G679" s="11" t="s">
        <v>2847</v>
      </c>
      <c r="H679" s="12">
        <v>20</v>
      </c>
      <c r="I679" s="13" t="s">
        <v>371</v>
      </c>
      <c r="J679" s="13"/>
      <c r="K679" s="13"/>
      <c r="L679" s="4">
        <v>2</v>
      </c>
      <c r="M679" s="14">
        <f>417*(1-P3/100)</f>
        <v>417</v>
      </c>
      <c r="N679" s="15"/>
      <c r="O679" s="13">
        <f>M679*N679</f>
        <v>0</v>
      </c>
      <c r="P679" s="22">
        <f>0.356*N679</f>
        <v>0</v>
      </c>
      <c r="Q679" s="23">
        <f>0.00038*N679</f>
        <v>0</v>
      </c>
      <c r="R679" s="24"/>
      <c r="S679" s="25" t="s">
        <v>2848</v>
      </c>
      <c r="T679" s="25" t="s">
        <v>94</v>
      </c>
      <c r="U679" s="5"/>
      <c r="V679" s="5" t="s">
        <v>2849</v>
      </c>
      <c r="W679" s="5" t="s">
        <v>46</v>
      </c>
      <c r="X679" s="5"/>
      <c r="Y679" s="5"/>
      <c r="Z679" s="5" t="str">
        <f>HYPERLINK("https://knigipp.ru/api/getInfo/image/2535e63c-5617-11ee-a245-00155d82e902")</f>
        <v>https://knigipp.ru/api/getInfo/image/2535e63c-5617-11ee-a245-00155d82e902</v>
      </c>
      <c r="AA679" s="33">
        <v>256</v>
      </c>
      <c r="AB679" s="5" t="s">
        <v>574</v>
      </c>
      <c r="AC679" s="5" t="s">
        <v>86</v>
      </c>
      <c r="AD679" s="5"/>
      <c r="AE679" s="5" t="s">
        <v>49</v>
      </c>
      <c r="AF679" s="5"/>
      <c r="AG679" s="5"/>
      <c r="AH679" s="5" t="s">
        <v>2850</v>
      </c>
    </row>
    <row r="680" spans="2:34" ht="22.95" customHeight="1" outlineLevel="3" x14ac:dyDescent="0.2">
      <c r="B680" s="74" t="s">
        <v>2851</v>
      </c>
      <c r="C680" s="74"/>
      <c r="D680" s="74"/>
    </row>
    <row r="681" spans="2:34" ht="21" customHeight="1" outlineLevel="4" x14ac:dyDescent="0.2">
      <c r="B681" s="4">
        <v>501</v>
      </c>
      <c r="C681" s="5" t="s">
        <v>2852</v>
      </c>
      <c r="D681" s="5" t="s">
        <v>2853</v>
      </c>
      <c r="E681" s="6" t="s">
        <v>2854</v>
      </c>
      <c r="F681" s="10"/>
      <c r="G681" s="11" t="s">
        <v>2855</v>
      </c>
      <c r="H681" s="12">
        <v>20</v>
      </c>
      <c r="I681" s="13" t="s">
        <v>41</v>
      </c>
      <c r="J681" s="13"/>
      <c r="K681" s="13"/>
      <c r="L681" s="4">
        <v>3</v>
      </c>
      <c r="M681" s="14">
        <f>217*(1-P3/100)</f>
        <v>217</v>
      </c>
      <c r="N681" s="15"/>
      <c r="O681" s="13">
        <f>M681*N681</f>
        <v>0</v>
      </c>
      <c r="P681" s="13">
        <v>0</v>
      </c>
      <c r="Q681" s="13">
        <v>0</v>
      </c>
      <c r="R681" s="24"/>
      <c r="S681" s="25" t="s">
        <v>2856</v>
      </c>
      <c r="T681" s="25" t="s">
        <v>43</v>
      </c>
      <c r="U681" s="5"/>
      <c r="V681" s="5" t="s">
        <v>2857</v>
      </c>
      <c r="W681" s="5" t="s">
        <v>46</v>
      </c>
      <c r="X681" s="5"/>
      <c r="Y681" s="5"/>
      <c r="Z681" s="5" t="str">
        <f>HYPERLINK("https://knigipp.ru/api/getInfo/image/7443d76e-8fe7-11ed-a22b-00155d82e902")</f>
        <v>https://knigipp.ru/api/getInfo/image/7443d76e-8fe7-11ed-a22b-00155d82e902</v>
      </c>
      <c r="AA681" s="33">
        <v>80</v>
      </c>
      <c r="AB681" s="5" t="s">
        <v>47</v>
      </c>
      <c r="AC681" s="5" t="s">
        <v>48</v>
      </c>
      <c r="AD681" s="5"/>
      <c r="AE681" s="5" t="s">
        <v>49</v>
      </c>
      <c r="AF681" s="5"/>
      <c r="AG681" s="5"/>
      <c r="AH681" s="5" t="s">
        <v>2858</v>
      </c>
    </row>
    <row r="682" spans="2:34" ht="21" customHeight="1" outlineLevel="4" x14ac:dyDescent="0.2">
      <c r="B682" s="4">
        <v>502</v>
      </c>
      <c r="C682" s="5" t="s">
        <v>2859</v>
      </c>
      <c r="D682" s="5" t="s">
        <v>2860</v>
      </c>
      <c r="E682" s="6" t="s">
        <v>2861</v>
      </c>
      <c r="F682" s="10"/>
      <c r="G682" s="11" t="s">
        <v>2855</v>
      </c>
      <c r="H682" s="12">
        <v>20</v>
      </c>
      <c r="I682" s="13" t="s">
        <v>41</v>
      </c>
      <c r="J682" s="13"/>
      <c r="K682" s="13"/>
      <c r="L682" s="4">
        <v>3</v>
      </c>
      <c r="M682" s="14">
        <f>217*(1-P3/100)</f>
        <v>217</v>
      </c>
      <c r="N682" s="15"/>
      <c r="O682" s="13">
        <f>M682*N682</f>
        <v>0</v>
      </c>
      <c r="P682" s="22">
        <f>0.124*N682</f>
        <v>0</v>
      </c>
      <c r="Q682" s="23">
        <f>0.00046*N682</f>
        <v>0</v>
      </c>
      <c r="R682" s="24"/>
      <c r="S682" s="25" t="s">
        <v>2862</v>
      </c>
      <c r="T682" s="25" t="s">
        <v>43</v>
      </c>
      <c r="U682" s="5"/>
      <c r="V682" s="5" t="s">
        <v>2863</v>
      </c>
      <c r="W682" s="5" t="s">
        <v>46</v>
      </c>
      <c r="X682" s="5"/>
      <c r="Y682" s="5"/>
      <c r="Z682" s="5" t="str">
        <f>HYPERLINK("https://knigipp.ru/api/getInfo/image/3674daeb-8fe8-11ed-a22b-00155d82e902")</f>
        <v>https://knigipp.ru/api/getInfo/image/3674daeb-8fe8-11ed-a22b-00155d82e902</v>
      </c>
      <c r="AA682" s="33">
        <v>80</v>
      </c>
      <c r="AB682" s="5" t="s">
        <v>47</v>
      </c>
      <c r="AC682" s="5" t="s">
        <v>48</v>
      </c>
      <c r="AD682" s="5"/>
      <c r="AE682" s="5" t="s">
        <v>49</v>
      </c>
      <c r="AF682" s="5"/>
      <c r="AG682" s="5"/>
      <c r="AH682" s="5" t="s">
        <v>2858</v>
      </c>
    </row>
    <row r="683" spans="2:34" ht="21" customHeight="1" outlineLevel="4" x14ac:dyDescent="0.2">
      <c r="B683" s="4">
        <v>503</v>
      </c>
      <c r="C683" s="5" t="s">
        <v>2864</v>
      </c>
      <c r="D683" s="5" t="s">
        <v>2865</v>
      </c>
      <c r="E683" s="6" t="s">
        <v>2866</v>
      </c>
      <c r="F683" s="10"/>
      <c r="G683" s="11" t="s">
        <v>2855</v>
      </c>
      <c r="H683" s="12">
        <v>20</v>
      </c>
      <c r="I683" s="13" t="s">
        <v>371</v>
      </c>
      <c r="J683" s="13"/>
      <c r="K683" s="13"/>
      <c r="L683" s="4">
        <v>3</v>
      </c>
      <c r="M683" s="14">
        <f>217*(1-P3/100)</f>
        <v>217</v>
      </c>
      <c r="N683" s="15"/>
      <c r="O683" s="13">
        <f>M683*N683</f>
        <v>0</v>
      </c>
      <c r="P683" s="22">
        <f>0.125*N683</f>
        <v>0</v>
      </c>
      <c r="Q683" s="23">
        <f>0.00032*N683</f>
        <v>0</v>
      </c>
      <c r="R683" s="24"/>
      <c r="S683" s="25" t="s">
        <v>2867</v>
      </c>
      <c r="T683" s="25" t="s">
        <v>43</v>
      </c>
      <c r="U683" s="5"/>
      <c r="V683" s="5" t="s">
        <v>2868</v>
      </c>
      <c r="W683" s="5" t="s">
        <v>46</v>
      </c>
      <c r="X683" s="5"/>
      <c r="Y683" s="5"/>
      <c r="Z683" s="5" t="str">
        <f>HYPERLINK("https://knigipp.ru/api/getInfo/image/4274dbda-8fea-11ed-a22b-00155d82e902")</f>
        <v>https://knigipp.ru/api/getInfo/image/4274dbda-8fea-11ed-a22b-00155d82e902</v>
      </c>
      <c r="AA683" s="33">
        <v>80</v>
      </c>
      <c r="AB683" s="5" t="s">
        <v>47</v>
      </c>
      <c r="AC683" s="5" t="s">
        <v>48</v>
      </c>
      <c r="AD683" s="5"/>
      <c r="AE683" s="5" t="s">
        <v>49</v>
      </c>
      <c r="AF683" s="5"/>
      <c r="AG683" s="5"/>
      <c r="AH683" s="5" t="s">
        <v>2858</v>
      </c>
    </row>
    <row r="684" spans="2:34" ht="22.95" customHeight="1" outlineLevel="3" x14ac:dyDescent="0.2">
      <c r="B684" s="74" t="s">
        <v>2869</v>
      </c>
      <c r="C684" s="74"/>
      <c r="D684" s="74"/>
    </row>
    <row r="685" spans="2:34" ht="21" customHeight="1" outlineLevel="4" x14ac:dyDescent="0.2">
      <c r="B685" s="4">
        <v>504</v>
      </c>
      <c r="C685" s="5" t="s">
        <v>2870</v>
      </c>
      <c r="D685" s="5" t="s">
        <v>2871</v>
      </c>
      <c r="E685" s="6" t="s">
        <v>2872</v>
      </c>
      <c r="F685" s="10"/>
      <c r="G685" s="11" t="s">
        <v>2873</v>
      </c>
      <c r="H685" s="12">
        <v>20</v>
      </c>
      <c r="I685" s="13" t="s">
        <v>371</v>
      </c>
      <c r="J685" s="13"/>
      <c r="K685" s="13"/>
      <c r="L685" s="4">
        <v>3</v>
      </c>
      <c r="M685" s="14">
        <f>256*(1-P3/100)</f>
        <v>256</v>
      </c>
      <c r="N685" s="15"/>
      <c r="O685" s="13">
        <f>M685*N685</f>
        <v>0</v>
      </c>
      <c r="P685" s="32">
        <f>0.18*N685</f>
        <v>0</v>
      </c>
      <c r="Q685" s="23">
        <f>0.00031*N685</f>
        <v>0</v>
      </c>
      <c r="R685" s="24"/>
      <c r="S685" s="25" t="s">
        <v>2874</v>
      </c>
      <c r="T685" s="25" t="s">
        <v>43</v>
      </c>
      <c r="U685" s="5"/>
      <c r="V685" s="5"/>
      <c r="W685" s="5" t="s">
        <v>46</v>
      </c>
      <c r="X685" s="5"/>
      <c r="Y685" s="5"/>
      <c r="Z685" s="5" t="str">
        <f>HYPERLINK("https://knigipp.ru/api/getInfo/image/39b61230-9570-11ec-a211-ac1f6b442185")</f>
        <v>https://knigipp.ru/api/getInfo/image/39b61230-9570-11ec-a211-ac1f6b442185</v>
      </c>
      <c r="AA685" s="33">
        <v>48</v>
      </c>
      <c r="AB685" s="5"/>
      <c r="AC685" s="5" t="s">
        <v>86</v>
      </c>
      <c r="AD685" s="5"/>
      <c r="AE685" s="5" t="s">
        <v>49</v>
      </c>
      <c r="AF685" s="5"/>
      <c r="AG685" s="5"/>
      <c r="AH685" s="5" t="s">
        <v>2875</v>
      </c>
    </row>
    <row r="686" spans="2:34" ht="22.95" customHeight="1" outlineLevel="3" x14ac:dyDescent="0.2">
      <c r="B686" s="74" t="s">
        <v>2876</v>
      </c>
      <c r="C686" s="74"/>
      <c r="D686" s="74"/>
    </row>
    <row r="687" spans="2:34" ht="21" customHeight="1" outlineLevel="4" x14ac:dyDescent="0.2">
      <c r="B687" s="4">
        <v>505</v>
      </c>
      <c r="C687" s="5" t="s">
        <v>2877</v>
      </c>
      <c r="D687" s="5" t="s">
        <v>2878</v>
      </c>
      <c r="E687" s="6" t="s">
        <v>2879</v>
      </c>
      <c r="F687" s="10"/>
      <c r="G687" s="11" t="s">
        <v>2880</v>
      </c>
      <c r="H687" s="12">
        <v>12</v>
      </c>
      <c r="I687" s="13" t="s">
        <v>41</v>
      </c>
      <c r="J687" s="13"/>
      <c r="K687" s="13"/>
      <c r="L687" s="4">
        <v>3</v>
      </c>
      <c r="M687" s="14">
        <f>217*(1-P3/100)</f>
        <v>217</v>
      </c>
      <c r="N687" s="15"/>
      <c r="O687" s="13">
        <f>M687*N687</f>
        <v>0</v>
      </c>
      <c r="P687" s="22">
        <f>2.691*N687</f>
        <v>0</v>
      </c>
      <c r="Q687" s="23">
        <f>0.00443*N687</f>
        <v>0</v>
      </c>
      <c r="R687" s="24"/>
      <c r="S687" s="25" t="s">
        <v>2881</v>
      </c>
      <c r="T687" s="25" t="s">
        <v>43</v>
      </c>
      <c r="U687" s="5"/>
      <c r="V687" s="5"/>
      <c r="W687" s="5" t="s">
        <v>46</v>
      </c>
      <c r="X687" s="5" t="s">
        <v>2882</v>
      </c>
      <c r="Y687" s="5"/>
      <c r="Z687" s="5" t="str">
        <f>HYPERLINK("https://knigipp.ru/api/getInfo/image/9797cc9d-c423-11e5-95cd-5cf3fc4a2490")</f>
        <v>https://knigipp.ru/api/getInfo/image/9797cc9d-c423-11e5-95cd-5cf3fc4a2490</v>
      </c>
      <c r="AA687" s="33">
        <v>36</v>
      </c>
      <c r="AB687" s="5"/>
      <c r="AC687" s="5" t="s">
        <v>86</v>
      </c>
      <c r="AD687" s="5"/>
      <c r="AE687" s="5" t="s">
        <v>49</v>
      </c>
      <c r="AF687" s="5"/>
      <c r="AG687" s="5" t="s">
        <v>2883</v>
      </c>
      <c r="AH687" s="5" t="s">
        <v>2884</v>
      </c>
    </row>
    <row r="688" spans="2:34" ht="21" customHeight="1" outlineLevel="4" x14ac:dyDescent="0.2">
      <c r="B688" s="4">
        <v>506</v>
      </c>
      <c r="C688" s="5" t="s">
        <v>2885</v>
      </c>
      <c r="D688" s="5" t="s">
        <v>2886</v>
      </c>
      <c r="E688" s="6" t="s">
        <v>2887</v>
      </c>
      <c r="F688" s="10"/>
      <c r="G688" s="11" t="s">
        <v>2880</v>
      </c>
      <c r="H688" s="12">
        <v>12</v>
      </c>
      <c r="I688" s="13" t="s">
        <v>41</v>
      </c>
      <c r="J688" s="13"/>
      <c r="K688" s="13"/>
      <c r="L688" s="4">
        <v>3</v>
      </c>
      <c r="M688" s="14">
        <f>217*(1-P3/100)</f>
        <v>217</v>
      </c>
      <c r="N688" s="15"/>
      <c r="O688" s="13">
        <f>M688*N688</f>
        <v>0</v>
      </c>
      <c r="P688" s="22">
        <f>0.226*N688</f>
        <v>0</v>
      </c>
      <c r="Q688" s="23">
        <f>0.00055*N688</f>
        <v>0</v>
      </c>
      <c r="R688" s="24"/>
      <c r="S688" s="25" t="s">
        <v>2888</v>
      </c>
      <c r="T688" s="25" t="s">
        <v>43</v>
      </c>
      <c r="U688" s="5"/>
      <c r="V688" s="5" t="s">
        <v>2889</v>
      </c>
      <c r="W688" s="5" t="s">
        <v>46</v>
      </c>
      <c r="X688" s="5" t="s">
        <v>2882</v>
      </c>
      <c r="Y688" s="5"/>
      <c r="Z688" s="5" t="str">
        <f>HYPERLINK("https://knigipp.ru/api/getInfo/image/7295ec1d-c423-11e5-95cd-5cf3fc4a2490")</f>
        <v>https://knigipp.ru/api/getInfo/image/7295ec1d-c423-11e5-95cd-5cf3fc4a2490</v>
      </c>
      <c r="AA688" s="33">
        <v>36</v>
      </c>
      <c r="AB688" s="5"/>
      <c r="AC688" s="5" t="s">
        <v>86</v>
      </c>
      <c r="AD688" s="5"/>
      <c r="AE688" s="5" t="s">
        <v>49</v>
      </c>
      <c r="AF688" s="5"/>
      <c r="AG688" s="5" t="s">
        <v>2883</v>
      </c>
      <c r="AH688" s="5" t="s">
        <v>2884</v>
      </c>
    </row>
    <row r="689" spans="2:34" ht="21" customHeight="1" outlineLevel="4" x14ac:dyDescent="0.2">
      <c r="B689" s="4">
        <v>507</v>
      </c>
      <c r="C689" s="5" t="s">
        <v>2890</v>
      </c>
      <c r="D689" s="5" t="s">
        <v>2891</v>
      </c>
      <c r="E689" s="6" t="s">
        <v>2892</v>
      </c>
      <c r="F689" s="10"/>
      <c r="G689" s="11" t="s">
        <v>2880</v>
      </c>
      <c r="H689" s="12">
        <v>12</v>
      </c>
      <c r="I689" s="13" t="s">
        <v>41</v>
      </c>
      <c r="J689" s="13"/>
      <c r="K689" s="13"/>
      <c r="L689" s="4">
        <v>3</v>
      </c>
      <c r="M689" s="14">
        <f>217*(1-P3/100)</f>
        <v>217</v>
      </c>
      <c r="N689" s="15"/>
      <c r="O689" s="13">
        <f>M689*N689</f>
        <v>0</v>
      </c>
      <c r="P689" s="22">
        <f>0.223*N689</f>
        <v>0</v>
      </c>
      <c r="Q689" s="30">
        <f>0.0005*N689</f>
        <v>0</v>
      </c>
      <c r="R689" s="24"/>
      <c r="S689" s="25" t="s">
        <v>2893</v>
      </c>
      <c r="T689" s="25" t="s">
        <v>43</v>
      </c>
      <c r="U689" s="5"/>
      <c r="V689" s="5" t="s">
        <v>2894</v>
      </c>
      <c r="W689" s="5" t="s">
        <v>46</v>
      </c>
      <c r="X689" s="5" t="s">
        <v>2895</v>
      </c>
      <c r="Y689" s="5"/>
      <c r="Z689" s="5" t="str">
        <f>HYPERLINK("https://knigipp.ru/api/getInfo/image/45320ff8-968a-11e6-a489-5cf3fc4a2490")</f>
        <v>https://knigipp.ru/api/getInfo/image/45320ff8-968a-11e6-a489-5cf3fc4a2490</v>
      </c>
      <c r="AA689" s="33">
        <v>36</v>
      </c>
      <c r="AB689" s="5"/>
      <c r="AC689" s="5" t="s">
        <v>86</v>
      </c>
      <c r="AD689" s="5"/>
      <c r="AE689" s="5" t="s">
        <v>49</v>
      </c>
      <c r="AF689" s="5"/>
      <c r="AG689" s="5" t="s">
        <v>2883</v>
      </c>
      <c r="AH689" s="5" t="s">
        <v>2884</v>
      </c>
    </row>
    <row r="690" spans="2:34" ht="21" customHeight="1" outlineLevel="4" x14ac:dyDescent="0.2">
      <c r="B690" s="4">
        <v>508</v>
      </c>
      <c r="C690" s="5" t="s">
        <v>2896</v>
      </c>
      <c r="D690" s="5" t="s">
        <v>2897</v>
      </c>
      <c r="E690" s="6" t="s">
        <v>2898</v>
      </c>
      <c r="F690" s="10"/>
      <c r="G690" s="11" t="s">
        <v>2880</v>
      </c>
      <c r="H690" s="12">
        <v>12</v>
      </c>
      <c r="I690" s="13" t="s">
        <v>41</v>
      </c>
      <c r="J690" s="13"/>
      <c r="K690" s="13"/>
      <c r="L690" s="4">
        <v>3</v>
      </c>
      <c r="M690" s="14">
        <f>217*(1-P3/100)</f>
        <v>217</v>
      </c>
      <c r="N690" s="15"/>
      <c r="O690" s="13">
        <f>M690*N690</f>
        <v>0</v>
      </c>
      <c r="P690" s="22">
        <f>0.317*N690</f>
        <v>0</v>
      </c>
      <c r="Q690" s="23">
        <f>0.00039*N690</f>
        <v>0</v>
      </c>
      <c r="R690" s="24"/>
      <c r="S690" s="25" t="s">
        <v>2899</v>
      </c>
      <c r="T690" s="25" t="s">
        <v>43</v>
      </c>
      <c r="U690" s="5"/>
      <c r="V690" s="5" t="s">
        <v>2900</v>
      </c>
      <c r="W690" s="5" t="s">
        <v>46</v>
      </c>
      <c r="X690" s="5" t="s">
        <v>2895</v>
      </c>
      <c r="Y690" s="5"/>
      <c r="Z690" s="5" t="str">
        <f>HYPERLINK("https://knigipp.ru/api/getInfo/image/51b147f8-968a-11e6-a489-5cf3fc4a2490")</f>
        <v>https://knigipp.ru/api/getInfo/image/51b147f8-968a-11e6-a489-5cf3fc4a2490</v>
      </c>
      <c r="AA690" s="33">
        <v>36</v>
      </c>
      <c r="AB690" s="5"/>
      <c r="AC690" s="5" t="s">
        <v>86</v>
      </c>
      <c r="AD690" s="5"/>
      <c r="AE690" s="5" t="s">
        <v>49</v>
      </c>
      <c r="AF690" s="5"/>
      <c r="AG690" s="5" t="s">
        <v>2883</v>
      </c>
      <c r="AH690" s="5" t="s">
        <v>2884</v>
      </c>
    </row>
    <row r="691" spans="2:34" ht="22.95" customHeight="1" outlineLevel="3" x14ac:dyDescent="0.2">
      <c r="B691" s="74" t="s">
        <v>2901</v>
      </c>
      <c r="C691" s="74"/>
      <c r="D691" s="74"/>
    </row>
    <row r="692" spans="2:34" ht="21" customHeight="1" outlineLevel="4" x14ac:dyDescent="0.2">
      <c r="B692" s="4">
        <v>509</v>
      </c>
      <c r="C692" s="5" t="s">
        <v>2902</v>
      </c>
      <c r="D692" s="5" t="s">
        <v>2903</v>
      </c>
      <c r="E692" s="6" t="s">
        <v>2904</v>
      </c>
      <c r="F692" s="10"/>
      <c r="G692" s="11" t="s">
        <v>2905</v>
      </c>
      <c r="H692" s="12">
        <v>20</v>
      </c>
      <c r="I692" s="13" t="s">
        <v>41</v>
      </c>
      <c r="J692" s="13"/>
      <c r="K692" s="13"/>
      <c r="L692" s="4">
        <v>3</v>
      </c>
      <c r="M692" s="14">
        <f>269*(1-P3/100)</f>
        <v>269</v>
      </c>
      <c r="N692" s="15"/>
      <c r="O692" s="13">
        <f>M692*N692</f>
        <v>0</v>
      </c>
      <c r="P692" s="13">
        <v>0</v>
      </c>
      <c r="Q692" s="13">
        <v>0</v>
      </c>
      <c r="R692" s="24"/>
      <c r="S692" s="25" t="s">
        <v>2906</v>
      </c>
      <c r="T692" s="25" t="s">
        <v>43</v>
      </c>
      <c r="U692" s="5"/>
      <c r="V692" s="5" t="s">
        <v>2907</v>
      </c>
      <c r="W692" s="5" t="s">
        <v>46</v>
      </c>
      <c r="X692" s="5"/>
      <c r="Y692" s="5"/>
      <c r="Z692" s="5" t="str">
        <f>HYPERLINK("https://knigipp.ru/api/getInfo/image/cdaa8bd4-723e-11ed-a22a-00155d82e902")</f>
        <v>https://knigipp.ru/api/getInfo/image/cdaa8bd4-723e-11ed-a22a-00155d82e902</v>
      </c>
      <c r="AA692" s="33">
        <v>64</v>
      </c>
      <c r="AB692" s="5" t="s">
        <v>47</v>
      </c>
      <c r="AC692" s="5" t="s">
        <v>86</v>
      </c>
      <c r="AD692" s="5"/>
      <c r="AE692" s="5" t="s">
        <v>49</v>
      </c>
      <c r="AF692" s="5"/>
      <c r="AG692" s="5"/>
      <c r="AH692" s="5" t="s">
        <v>2908</v>
      </c>
    </row>
    <row r="693" spans="2:34" ht="21" customHeight="1" outlineLevel="4" x14ac:dyDescent="0.2">
      <c r="B693" s="4">
        <v>510</v>
      </c>
      <c r="C693" s="5" t="s">
        <v>2909</v>
      </c>
      <c r="D693" s="5" t="s">
        <v>2910</v>
      </c>
      <c r="E693" s="6" t="s">
        <v>2911</v>
      </c>
      <c r="F693" s="10"/>
      <c r="G693" s="11" t="s">
        <v>2905</v>
      </c>
      <c r="H693" s="12">
        <v>20</v>
      </c>
      <c r="I693" s="13" t="s">
        <v>371</v>
      </c>
      <c r="J693" s="13"/>
      <c r="K693" s="13"/>
      <c r="L693" s="4">
        <v>3</v>
      </c>
      <c r="M693" s="14">
        <f>269*(1-P3/100)</f>
        <v>269</v>
      </c>
      <c r="N693" s="15"/>
      <c r="O693" s="13">
        <f>M693*N693</f>
        <v>0</v>
      </c>
      <c r="P693" s="13">
        <v>0</v>
      </c>
      <c r="Q693" s="13">
        <v>0</v>
      </c>
      <c r="R693" s="24"/>
      <c r="S693" s="25" t="s">
        <v>2912</v>
      </c>
      <c r="T693" s="25" t="s">
        <v>43</v>
      </c>
      <c r="U693" s="5"/>
      <c r="V693" s="5" t="s">
        <v>2913</v>
      </c>
      <c r="W693" s="5" t="s">
        <v>46</v>
      </c>
      <c r="X693" s="5"/>
      <c r="Y693" s="5"/>
      <c r="Z693" s="5" t="str">
        <f>HYPERLINK("https://knigipp.ru/api/getInfo/image/05af87c5-723f-11ed-a22a-00155d82e902")</f>
        <v>https://knigipp.ru/api/getInfo/image/05af87c5-723f-11ed-a22a-00155d82e902</v>
      </c>
      <c r="AA693" s="33">
        <v>64</v>
      </c>
      <c r="AB693" s="5" t="s">
        <v>47</v>
      </c>
      <c r="AC693" s="5" t="s">
        <v>86</v>
      </c>
      <c r="AD693" s="5"/>
      <c r="AE693" s="5" t="s">
        <v>49</v>
      </c>
      <c r="AF693" s="5"/>
      <c r="AG693" s="5"/>
      <c r="AH693" s="5" t="s">
        <v>2908</v>
      </c>
    </row>
    <row r="694" spans="2:34" ht="22.95" customHeight="1" outlineLevel="3" x14ac:dyDescent="0.2">
      <c r="B694" s="74" t="s">
        <v>2914</v>
      </c>
      <c r="C694" s="74"/>
      <c r="D694" s="74"/>
    </row>
    <row r="695" spans="2:34" ht="21" customHeight="1" outlineLevel="4" x14ac:dyDescent="0.2">
      <c r="B695" s="4">
        <v>511</v>
      </c>
      <c r="C695" s="5" t="s">
        <v>2915</v>
      </c>
      <c r="D695" s="5" t="s">
        <v>2916</v>
      </c>
      <c r="E695" s="6" t="s">
        <v>2917</v>
      </c>
      <c r="F695" s="10"/>
      <c r="G695" s="11" t="s">
        <v>2918</v>
      </c>
      <c r="H695" s="12">
        <v>10</v>
      </c>
      <c r="I695" s="13" t="s">
        <v>371</v>
      </c>
      <c r="J695" s="13"/>
      <c r="K695" s="13"/>
      <c r="L695" s="4">
        <v>3</v>
      </c>
      <c r="M695" s="14">
        <f>199*(1-P3/100)</f>
        <v>199</v>
      </c>
      <c r="N695" s="15"/>
      <c r="O695" s="13">
        <f>M695*N695</f>
        <v>0</v>
      </c>
      <c r="P695" s="22">
        <f>0.164*N695</f>
        <v>0</v>
      </c>
      <c r="Q695" s="30">
        <f>0.0004*N695</f>
        <v>0</v>
      </c>
      <c r="R695" s="24"/>
      <c r="S695" s="25" t="s">
        <v>2919</v>
      </c>
      <c r="T695" s="25" t="s">
        <v>94</v>
      </c>
      <c r="U695" s="5"/>
      <c r="V695" s="5" t="s">
        <v>2920</v>
      </c>
      <c r="W695" s="5" t="s">
        <v>46</v>
      </c>
      <c r="X695" s="5"/>
      <c r="Y695" s="5"/>
      <c r="Z695" s="5" t="str">
        <f>HYPERLINK("https://knigipp.ru/api/getInfo/image/9e13b3c4-c4f2-11ef-a268-00155d82e908")</f>
        <v>https://knigipp.ru/api/getInfo/image/9e13b3c4-c4f2-11ef-a268-00155d82e908</v>
      </c>
      <c r="AA695" s="33">
        <v>64</v>
      </c>
      <c r="AB695" s="5" t="s">
        <v>47</v>
      </c>
      <c r="AC695" s="5" t="s">
        <v>86</v>
      </c>
      <c r="AD695" s="5"/>
      <c r="AE695" s="5" t="s">
        <v>49</v>
      </c>
      <c r="AF695" s="5"/>
      <c r="AG695" s="5"/>
      <c r="AH695" s="5" t="s">
        <v>2921</v>
      </c>
    </row>
    <row r="696" spans="2:34" ht="21" customHeight="1" outlineLevel="4" x14ac:dyDescent="0.2">
      <c r="B696" s="4">
        <v>512</v>
      </c>
      <c r="C696" s="5" t="s">
        <v>2922</v>
      </c>
      <c r="D696" s="5" t="s">
        <v>2923</v>
      </c>
      <c r="E696" s="6" t="s">
        <v>2924</v>
      </c>
      <c r="F696" s="10"/>
      <c r="G696" s="11" t="s">
        <v>2918</v>
      </c>
      <c r="H696" s="12">
        <v>10</v>
      </c>
      <c r="I696" s="13" t="s">
        <v>371</v>
      </c>
      <c r="J696" s="13"/>
      <c r="K696" s="13"/>
      <c r="L696" s="4">
        <v>3</v>
      </c>
      <c r="M696" s="14">
        <f>199*(1-P3/100)</f>
        <v>199</v>
      </c>
      <c r="N696" s="15"/>
      <c r="O696" s="13">
        <f>M696*N696</f>
        <v>0</v>
      </c>
      <c r="P696" s="22">
        <f>0.164*N696</f>
        <v>0</v>
      </c>
      <c r="Q696" s="30">
        <f>0.0004*N696</f>
        <v>0</v>
      </c>
      <c r="R696" s="24"/>
      <c r="S696" s="25" t="s">
        <v>2925</v>
      </c>
      <c r="T696" s="25" t="s">
        <v>94</v>
      </c>
      <c r="U696" s="5"/>
      <c r="V696" s="5" t="s">
        <v>2926</v>
      </c>
      <c r="W696" s="5" t="s">
        <v>46</v>
      </c>
      <c r="X696" s="5"/>
      <c r="Y696" s="5"/>
      <c r="Z696" s="5" t="str">
        <f>HYPERLINK("https://knigipp.ru/api/getInfo/image/7811687d-c4f2-11ef-a268-00155d82e908")</f>
        <v>https://knigipp.ru/api/getInfo/image/7811687d-c4f2-11ef-a268-00155d82e908</v>
      </c>
      <c r="AA696" s="33">
        <v>64</v>
      </c>
      <c r="AB696" s="5" t="s">
        <v>47</v>
      </c>
      <c r="AC696" s="5" t="s">
        <v>86</v>
      </c>
      <c r="AD696" s="5"/>
      <c r="AE696" s="5" t="s">
        <v>49</v>
      </c>
      <c r="AF696" s="5"/>
      <c r="AG696" s="5"/>
      <c r="AH696" s="5" t="s">
        <v>2921</v>
      </c>
    </row>
    <row r="697" spans="2:34" ht="21" customHeight="1" outlineLevel="4" x14ac:dyDescent="0.2">
      <c r="B697" s="4">
        <v>513</v>
      </c>
      <c r="C697" s="5" t="s">
        <v>2927</v>
      </c>
      <c r="D697" s="5" t="s">
        <v>2928</v>
      </c>
      <c r="E697" s="6" t="s">
        <v>2929</v>
      </c>
      <c r="F697" s="10"/>
      <c r="G697" s="11" t="s">
        <v>2918</v>
      </c>
      <c r="H697" s="12">
        <v>10</v>
      </c>
      <c r="I697" s="13" t="s">
        <v>261</v>
      </c>
      <c r="J697" s="13"/>
      <c r="K697" s="13"/>
      <c r="L697" s="4">
        <v>3</v>
      </c>
      <c r="M697" s="14">
        <f>199*(1-P3/100)</f>
        <v>199</v>
      </c>
      <c r="N697" s="15"/>
      <c r="O697" s="13">
        <f>M697*N697</f>
        <v>0</v>
      </c>
      <c r="P697" s="22">
        <f>0.356*N697</f>
        <v>0</v>
      </c>
      <c r="Q697" s="23">
        <f>0.00038*N697</f>
        <v>0</v>
      </c>
      <c r="R697" s="24"/>
      <c r="S697" s="25" t="s">
        <v>2930</v>
      </c>
      <c r="T697" s="25" t="s">
        <v>94</v>
      </c>
      <c r="U697" s="5"/>
      <c r="V697" s="5" t="s">
        <v>2931</v>
      </c>
      <c r="W697" s="5" t="s">
        <v>46</v>
      </c>
      <c r="X697" s="5"/>
      <c r="Y697" s="5"/>
      <c r="Z697" s="5" t="str">
        <f>HYPERLINK("https://knigipp.ru/api/getInfo/image/c0ef19cd-c4f2-11ef-a268-00155d82e908")</f>
        <v>https://knigipp.ru/api/getInfo/image/c0ef19cd-c4f2-11ef-a268-00155d82e908</v>
      </c>
      <c r="AA697" s="33">
        <v>64</v>
      </c>
      <c r="AB697" s="5" t="s">
        <v>47</v>
      </c>
      <c r="AC697" s="5" t="s">
        <v>86</v>
      </c>
      <c r="AD697" s="5"/>
      <c r="AE697" s="5" t="s">
        <v>49</v>
      </c>
      <c r="AF697" s="5"/>
      <c r="AG697" s="5"/>
      <c r="AH697" s="5" t="s">
        <v>2921</v>
      </c>
    </row>
    <row r="698" spans="2:34" ht="22.95" customHeight="1" outlineLevel="3" x14ac:dyDescent="0.2">
      <c r="B698" s="74" t="s">
        <v>2932</v>
      </c>
      <c r="C698" s="74"/>
      <c r="D698" s="74"/>
    </row>
    <row r="699" spans="2:34" ht="21" customHeight="1" outlineLevel="4" x14ac:dyDescent="0.2">
      <c r="B699" s="4">
        <v>514</v>
      </c>
      <c r="C699" s="5" t="s">
        <v>2933</v>
      </c>
      <c r="D699" s="5" t="s">
        <v>2934</v>
      </c>
      <c r="E699" s="6" t="s">
        <v>2935</v>
      </c>
      <c r="F699" s="10"/>
      <c r="G699" s="11" t="s">
        <v>2936</v>
      </c>
      <c r="H699" s="12">
        <v>30</v>
      </c>
      <c r="I699" s="13" t="s">
        <v>41</v>
      </c>
      <c r="J699" s="13"/>
      <c r="K699" s="13"/>
      <c r="L699" s="4">
        <v>4</v>
      </c>
      <c r="M699" s="14">
        <f>167*(1-P3/100)</f>
        <v>167</v>
      </c>
      <c r="N699" s="15"/>
      <c r="O699" s="13">
        <f>M699*N699</f>
        <v>0</v>
      </c>
      <c r="P699" s="13">
        <v>0</v>
      </c>
      <c r="Q699" s="13">
        <v>0</v>
      </c>
      <c r="R699" s="24"/>
      <c r="S699" s="25" t="s">
        <v>2937</v>
      </c>
      <c r="T699" s="25" t="s">
        <v>94</v>
      </c>
      <c r="U699" s="5"/>
      <c r="V699" s="5" t="s">
        <v>2938</v>
      </c>
      <c r="W699" s="5" t="s">
        <v>46</v>
      </c>
      <c r="X699" s="5" t="s">
        <v>1036</v>
      </c>
      <c r="Y699" s="5"/>
      <c r="Z699" s="5" t="str">
        <f>HYPERLINK("https://knigipp.ru/api/getInfo/image/7494ce39-8869-11ee-a249-00155d82e902")</f>
        <v>https://knigipp.ru/api/getInfo/image/7494ce39-8869-11ee-a249-00155d82e902</v>
      </c>
      <c r="AA699" s="33">
        <v>96</v>
      </c>
      <c r="AB699" s="5" t="s">
        <v>598</v>
      </c>
      <c r="AC699" s="5" t="s">
        <v>96</v>
      </c>
      <c r="AD699" s="5"/>
      <c r="AE699" s="5" t="s">
        <v>49</v>
      </c>
      <c r="AF699" s="5"/>
      <c r="AG699" s="5"/>
      <c r="AH699" s="5" t="s">
        <v>2939</v>
      </c>
    </row>
    <row r="700" spans="2:34" ht="21" customHeight="1" outlineLevel="4" x14ac:dyDescent="0.2">
      <c r="B700" s="4">
        <v>515</v>
      </c>
      <c r="C700" s="5" t="s">
        <v>2940</v>
      </c>
      <c r="D700" s="5" t="s">
        <v>2941</v>
      </c>
      <c r="E700" s="6" t="s">
        <v>2942</v>
      </c>
      <c r="F700" s="10"/>
      <c r="G700" s="11" t="s">
        <v>2936</v>
      </c>
      <c r="H700" s="12">
        <v>30</v>
      </c>
      <c r="I700" s="13" t="s">
        <v>41</v>
      </c>
      <c r="J700" s="13"/>
      <c r="K700" s="13"/>
      <c r="L700" s="4">
        <v>4</v>
      </c>
      <c r="M700" s="14">
        <f>167*(1-P3/100)</f>
        <v>167</v>
      </c>
      <c r="N700" s="15"/>
      <c r="O700" s="13">
        <f>M700*N700</f>
        <v>0</v>
      </c>
      <c r="P700" s="13">
        <v>0</v>
      </c>
      <c r="Q700" s="13">
        <v>0</v>
      </c>
      <c r="R700" s="24"/>
      <c r="S700" s="25" t="s">
        <v>2943</v>
      </c>
      <c r="T700" s="25" t="s">
        <v>94</v>
      </c>
      <c r="U700" s="5"/>
      <c r="V700" s="5" t="s">
        <v>2944</v>
      </c>
      <c r="W700" s="5" t="s">
        <v>46</v>
      </c>
      <c r="X700" s="5" t="s">
        <v>1048</v>
      </c>
      <c r="Y700" s="5"/>
      <c r="Z700" s="5" t="str">
        <f>HYPERLINK("https://knigipp.ru/api/getInfo/image/d6340109-8869-11ee-a249-00155d82e902")</f>
        <v>https://knigipp.ru/api/getInfo/image/d6340109-8869-11ee-a249-00155d82e902</v>
      </c>
      <c r="AA700" s="33">
        <v>96</v>
      </c>
      <c r="AB700" s="5" t="s">
        <v>598</v>
      </c>
      <c r="AC700" s="5" t="s">
        <v>96</v>
      </c>
      <c r="AD700" s="5"/>
      <c r="AE700" s="5" t="s">
        <v>49</v>
      </c>
      <c r="AF700" s="5"/>
      <c r="AG700" s="5"/>
      <c r="AH700" s="5" t="s">
        <v>2939</v>
      </c>
    </row>
    <row r="701" spans="2:34" ht="21" customHeight="1" outlineLevel="4" x14ac:dyDescent="0.2">
      <c r="B701" s="4">
        <v>516</v>
      </c>
      <c r="C701" s="5" t="s">
        <v>2945</v>
      </c>
      <c r="D701" s="5" t="s">
        <v>2946</v>
      </c>
      <c r="E701" s="6" t="s">
        <v>2947</v>
      </c>
      <c r="F701" s="10"/>
      <c r="G701" s="11" t="s">
        <v>2936</v>
      </c>
      <c r="H701" s="12">
        <v>30</v>
      </c>
      <c r="I701" s="13" t="s">
        <v>41</v>
      </c>
      <c r="J701" s="13"/>
      <c r="K701" s="13"/>
      <c r="L701" s="4">
        <v>4</v>
      </c>
      <c r="M701" s="14">
        <f>167*(1-P3/100)</f>
        <v>167</v>
      </c>
      <c r="N701" s="15"/>
      <c r="O701" s="13">
        <f>M701*N701</f>
        <v>0</v>
      </c>
      <c r="P701" s="13">
        <v>0</v>
      </c>
      <c r="Q701" s="13">
        <v>0</v>
      </c>
      <c r="R701" s="24"/>
      <c r="S701" s="25" t="s">
        <v>2948</v>
      </c>
      <c r="T701" s="25" t="s">
        <v>94</v>
      </c>
      <c r="U701" s="5"/>
      <c r="V701" s="5" t="s">
        <v>2949</v>
      </c>
      <c r="W701" s="5" t="s">
        <v>46</v>
      </c>
      <c r="X701" s="5" t="s">
        <v>1036</v>
      </c>
      <c r="Y701" s="5"/>
      <c r="Z701" s="5" t="str">
        <f>HYPERLINK("https://knigipp.ru/api/getInfo/image/a9642b22-8869-11ee-a249-00155d82e902")</f>
        <v>https://knigipp.ru/api/getInfo/image/a9642b22-8869-11ee-a249-00155d82e902</v>
      </c>
      <c r="AA701" s="33">
        <v>96</v>
      </c>
      <c r="AB701" s="5" t="s">
        <v>598</v>
      </c>
      <c r="AC701" s="5" t="s">
        <v>96</v>
      </c>
      <c r="AD701" s="5"/>
      <c r="AE701" s="5" t="s">
        <v>49</v>
      </c>
      <c r="AF701" s="5"/>
      <c r="AG701" s="5"/>
      <c r="AH701" s="5" t="s">
        <v>2939</v>
      </c>
    </row>
    <row r="702" spans="2:34" ht="21" customHeight="1" outlineLevel="4" x14ac:dyDescent="0.2">
      <c r="B702" s="4">
        <v>517</v>
      </c>
      <c r="C702" s="5" t="s">
        <v>2950</v>
      </c>
      <c r="D702" s="5" t="s">
        <v>2951</v>
      </c>
      <c r="E702" s="6" t="s">
        <v>2952</v>
      </c>
      <c r="F702" s="10"/>
      <c r="G702" s="11" t="s">
        <v>2936</v>
      </c>
      <c r="H702" s="12">
        <v>30</v>
      </c>
      <c r="I702" s="13" t="s">
        <v>41</v>
      </c>
      <c r="J702" s="13"/>
      <c r="K702" s="13"/>
      <c r="L702" s="4">
        <v>4</v>
      </c>
      <c r="M702" s="14">
        <f>167*(1-P3/100)</f>
        <v>167</v>
      </c>
      <c r="N702" s="15"/>
      <c r="O702" s="13">
        <f>M702*N702</f>
        <v>0</v>
      </c>
      <c r="P702" s="13">
        <v>0</v>
      </c>
      <c r="Q702" s="13">
        <v>0</v>
      </c>
      <c r="R702" s="24"/>
      <c r="S702" s="25" t="s">
        <v>2953</v>
      </c>
      <c r="T702" s="25" t="s">
        <v>94</v>
      </c>
      <c r="U702" s="5"/>
      <c r="V702" s="5" t="s">
        <v>2954</v>
      </c>
      <c r="W702" s="5" t="s">
        <v>46</v>
      </c>
      <c r="X702" s="5" t="s">
        <v>1048</v>
      </c>
      <c r="Y702" s="5"/>
      <c r="Z702" s="5" t="str">
        <f>HYPERLINK("https://knigipp.ru/api/getInfo/image/f5306825-8869-11ee-a249-00155d82e902")</f>
        <v>https://knigipp.ru/api/getInfo/image/f5306825-8869-11ee-a249-00155d82e902</v>
      </c>
      <c r="AA702" s="33">
        <v>96</v>
      </c>
      <c r="AB702" s="5" t="s">
        <v>598</v>
      </c>
      <c r="AC702" s="5" t="s">
        <v>96</v>
      </c>
      <c r="AD702" s="5"/>
      <c r="AE702" s="5" t="s">
        <v>49</v>
      </c>
      <c r="AF702" s="5"/>
      <c r="AG702" s="5"/>
      <c r="AH702" s="5" t="s">
        <v>2939</v>
      </c>
    </row>
    <row r="703" spans="2:34" ht="22.95" customHeight="1" outlineLevel="3" x14ac:dyDescent="0.2">
      <c r="B703" s="74" t="s">
        <v>2955</v>
      </c>
      <c r="C703" s="74"/>
      <c r="D703" s="74"/>
    </row>
    <row r="704" spans="2:34" ht="21" customHeight="1" outlineLevel="4" x14ac:dyDescent="0.2">
      <c r="B704" s="4">
        <v>518</v>
      </c>
      <c r="C704" s="5" t="s">
        <v>2956</v>
      </c>
      <c r="D704" s="5" t="s">
        <v>2957</v>
      </c>
      <c r="E704" s="6" t="s">
        <v>2958</v>
      </c>
      <c r="F704" s="10"/>
      <c r="G704" s="11" t="s">
        <v>2959</v>
      </c>
      <c r="H704" s="12">
        <v>10</v>
      </c>
      <c r="I704" s="13" t="s">
        <v>41</v>
      </c>
      <c r="J704" s="13"/>
      <c r="K704" s="13"/>
      <c r="L704" s="4">
        <v>2</v>
      </c>
      <c r="M704" s="14">
        <f>299*(1-P3/100)</f>
        <v>299</v>
      </c>
      <c r="N704" s="15"/>
      <c r="O704" s="13">
        <f>M704*N704</f>
        <v>0</v>
      </c>
      <c r="P704" s="32">
        <f>0.18*N704</f>
        <v>0</v>
      </c>
      <c r="Q704" s="23">
        <f>0.00003*N704</f>
        <v>0</v>
      </c>
      <c r="R704" s="24"/>
      <c r="S704" s="25" t="s">
        <v>2960</v>
      </c>
      <c r="T704" s="25" t="s">
        <v>94</v>
      </c>
      <c r="U704" s="5"/>
      <c r="V704" s="5" t="s">
        <v>2961</v>
      </c>
      <c r="W704" s="5" t="s">
        <v>46</v>
      </c>
      <c r="X704" s="5"/>
      <c r="Y704" s="5"/>
      <c r="Z704" s="5" t="str">
        <f>HYPERLINK("https://knigipp.ru/api/getInfo/image/deaa8702-ae51-11ef-a267-00155d82e908")</f>
        <v>https://knigipp.ru/api/getInfo/image/deaa8702-ae51-11ef-a267-00155d82e908</v>
      </c>
      <c r="AA704" s="33">
        <v>96</v>
      </c>
      <c r="AB704" s="5" t="s">
        <v>47</v>
      </c>
      <c r="AC704" s="5" t="s">
        <v>86</v>
      </c>
      <c r="AD704" s="5"/>
      <c r="AE704" s="5" t="s">
        <v>49</v>
      </c>
      <c r="AF704" s="5"/>
      <c r="AG704" s="5"/>
      <c r="AH704" s="5" t="s">
        <v>1239</v>
      </c>
    </row>
    <row r="705" spans="2:34" ht="21" customHeight="1" outlineLevel="4" x14ac:dyDescent="0.2">
      <c r="B705" s="4">
        <v>519</v>
      </c>
      <c r="C705" s="5" t="s">
        <v>2962</v>
      </c>
      <c r="D705" s="5" t="s">
        <v>2963</v>
      </c>
      <c r="E705" s="6" t="s">
        <v>2964</v>
      </c>
      <c r="F705" s="10"/>
      <c r="G705" s="11" t="s">
        <v>2959</v>
      </c>
      <c r="H705" s="12">
        <v>10</v>
      </c>
      <c r="I705" s="13" t="s">
        <v>41</v>
      </c>
      <c r="J705" s="13"/>
      <c r="K705" s="13"/>
      <c r="L705" s="4">
        <v>2</v>
      </c>
      <c r="M705" s="14">
        <f>299*(1-P3/100)</f>
        <v>299</v>
      </c>
      <c r="N705" s="15"/>
      <c r="O705" s="13">
        <f>M705*N705</f>
        <v>0</v>
      </c>
      <c r="P705" s="22">
        <f>4.527*N705</f>
        <v>0</v>
      </c>
      <c r="Q705" s="23">
        <f>0.04438*N705</f>
        <v>0</v>
      </c>
      <c r="R705" s="24"/>
      <c r="S705" s="25" t="s">
        <v>2965</v>
      </c>
      <c r="T705" s="25" t="s">
        <v>94</v>
      </c>
      <c r="U705" s="5"/>
      <c r="V705" s="5" t="s">
        <v>2966</v>
      </c>
      <c r="W705" s="5" t="s">
        <v>46</v>
      </c>
      <c r="X705" s="5"/>
      <c r="Y705" s="5"/>
      <c r="Z705" s="5" t="str">
        <f>HYPERLINK("https://knigipp.ru/api/getInfo/image/4a665bf1-ae51-11ef-a267-00155d82e908")</f>
        <v>https://knigipp.ru/api/getInfo/image/4a665bf1-ae51-11ef-a267-00155d82e908</v>
      </c>
      <c r="AA705" s="33">
        <v>96</v>
      </c>
      <c r="AB705" s="5" t="s">
        <v>47</v>
      </c>
      <c r="AC705" s="5" t="s">
        <v>86</v>
      </c>
      <c r="AD705" s="5"/>
      <c r="AE705" s="5" t="s">
        <v>49</v>
      </c>
      <c r="AF705" s="5"/>
      <c r="AG705" s="5"/>
      <c r="AH705" s="5" t="s">
        <v>1239</v>
      </c>
    </row>
    <row r="706" spans="2:34" ht="21" customHeight="1" outlineLevel="4" x14ac:dyDescent="0.2">
      <c r="B706" s="4">
        <v>520</v>
      </c>
      <c r="C706" s="5" t="s">
        <v>2967</v>
      </c>
      <c r="D706" s="5" t="s">
        <v>2968</v>
      </c>
      <c r="E706" s="6" t="s">
        <v>2969</v>
      </c>
      <c r="F706" s="10"/>
      <c r="G706" s="11" t="s">
        <v>2959</v>
      </c>
      <c r="H706" s="12">
        <v>10</v>
      </c>
      <c r="I706" s="13" t="s">
        <v>41</v>
      </c>
      <c r="J706" s="13"/>
      <c r="K706" s="13"/>
      <c r="L706" s="4">
        <v>2</v>
      </c>
      <c r="M706" s="14">
        <f>299*(1-P3/100)</f>
        <v>299</v>
      </c>
      <c r="N706" s="15"/>
      <c r="O706" s="13">
        <f>M706*N706</f>
        <v>0</v>
      </c>
      <c r="P706" s="32">
        <f>0.18*N706</f>
        <v>0</v>
      </c>
      <c r="Q706" s="23">
        <f>0.00003*N706</f>
        <v>0</v>
      </c>
      <c r="R706" s="24"/>
      <c r="S706" s="25" t="s">
        <v>2970</v>
      </c>
      <c r="T706" s="25" t="s">
        <v>94</v>
      </c>
      <c r="U706" s="5"/>
      <c r="V706" s="5" t="s">
        <v>2971</v>
      </c>
      <c r="W706" s="5" t="s">
        <v>46</v>
      </c>
      <c r="X706" s="5"/>
      <c r="Y706" s="5"/>
      <c r="Z706" s="5" t="str">
        <f>HYPERLINK("https://knigipp.ru/api/getInfo/image/ad15e249-ae51-11ef-a267-00155d82e908")</f>
        <v>https://knigipp.ru/api/getInfo/image/ad15e249-ae51-11ef-a267-00155d82e908</v>
      </c>
      <c r="AA706" s="33">
        <v>96</v>
      </c>
      <c r="AB706" s="5" t="s">
        <v>47</v>
      </c>
      <c r="AC706" s="5" t="s">
        <v>86</v>
      </c>
      <c r="AD706" s="5"/>
      <c r="AE706" s="5" t="s">
        <v>49</v>
      </c>
      <c r="AF706" s="5"/>
      <c r="AG706" s="5"/>
      <c r="AH706" s="5" t="s">
        <v>1239</v>
      </c>
    </row>
    <row r="707" spans="2:34" ht="21" customHeight="1" outlineLevel="4" x14ac:dyDescent="0.2">
      <c r="B707" s="4">
        <v>521</v>
      </c>
      <c r="C707" s="5" t="s">
        <v>2972</v>
      </c>
      <c r="D707" s="5" t="s">
        <v>2973</v>
      </c>
      <c r="E707" s="6" t="s">
        <v>2974</v>
      </c>
      <c r="F707" s="10"/>
      <c r="G707" s="11" t="s">
        <v>2959</v>
      </c>
      <c r="H707" s="12">
        <v>10</v>
      </c>
      <c r="I707" s="13" t="s">
        <v>41</v>
      </c>
      <c r="J707" s="13"/>
      <c r="K707" s="13"/>
      <c r="L707" s="4">
        <v>2</v>
      </c>
      <c r="M707" s="14">
        <f>299*(1-P3/100)</f>
        <v>299</v>
      </c>
      <c r="N707" s="15"/>
      <c r="O707" s="13">
        <f>M707*N707</f>
        <v>0</v>
      </c>
      <c r="P707" s="32">
        <f>0.18*N707</f>
        <v>0</v>
      </c>
      <c r="Q707" s="23">
        <f>0.00043*N707</f>
        <v>0</v>
      </c>
      <c r="R707" s="24"/>
      <c r="S707" s="25" t="s">
        <v>2975</v>
      </c>
      <c r="T707" s="25" t="s">
        <v>94</v>
      </c>
      <c r="U707" s="5"/>
      <c r="V707" s="5" t="s">
        <v>2976</v>
      </c>
      <c r="W707" s="5" t="s">
        <v>46</v>
      </c>
      <c r="X707" s="5"/>
      <c r="Y707" s="5"/>
      <c r="Z707" s="5" t="str">
        <f>HYPERLINK("https://knigipp.ru/api/getInfo/image/6929ed97-ae51-11ef-a267-00155d82e908")</f>
        <v>https://knigipp.ru/api/getInfo/image/6929ed97-ae51-11ef-a267-00155d82e908</v>
      </c>
      <c r="AA707" s="33">
        <v>96</v>
      </c>
      <c r="AB707" s="5" t="s">
        <v>47</v>
      </c>
      <c r="AC707" s="5" t="s">
        <v>86</v>
      </c>
      <c r="AD707" s="5"/>
      <c r="AE707" s="5" t="s">
        <v>49</v>
      </c>
      <c r="AF707" s="5"/>
      <c r="AG707" s="5"/>
      <c r="AH707" s="5" t="s">
        <v>1239</v>
      </c>
    </row>
    <row r="708" spans="2:34" ht="22.95" customHeight="1" outlineLevel="3" x14ac:dyDescent="0.2">
      <c r="B708" s="74" t="s">
        <v>2977</v>
      </c>
      <c r="C708" s="74"/>
      <c r="D708" s="74"/>
    </row>
    <row r="709" spans="2:34" ht="21" customHeight="1" outlineLevel="4" x14ac:dyDescent="0.2">
      <c r="B709" s="4">
        <v>522</v>
      </c>
      <c r="C709" s="5" t="s">
        <v>2978</v>
      </c>
      <c r="D709" s="5" t="s">
        <v>2979</v>
      </c>
      <c r="E709" s="6" t="s">
        <v>2980</v>
      </c>
      <c r="F709" s="10"/>
      <c r="G709" s="11" t="s">
        <v>2981</v>
      </c>
      <c r="H709" s="12">
        <v>10</v>
      </c>
      <c r="I709" s="13" t="s">
        <v>41</v>
      </c>
      <c r="J709" s="13"/>
      <c r="K709" s="13"/>
      <c r="L709" s="4">
        <v>3</v>
      </c>
      <c r="M709" s="14">
        <f>237*(1-P3/100)</f>
        <v>237</v>
      </c>
      <c r="N709" s="15"/>
      <c r="O709" s="13">
        <f>M709*N709</f>
        <v>0</v>
      </c>
      <c r="P709" s="22">
        <f>0.151*N709</f>
        <v>0</v>
      </c>
      <c r="Q709" s="23">
        <f>0.00025*N709</f>
        <v>0</v>
      </c>
      <c r="R709" s="24"/>
      <c r="S709" s="25" t="s">
        <v>2982</v>
      </c>
      <c r="T709" s="25" t="s">
        <v>94</v>
      </c>
      <c r="U709" s="5"/>
      <c r="V709" s="5" t="s">
        <v>2983</v>
      </c>
      <c r="W709" s="5" t="s">
        <v>46</v>
      </c>
      <c r="X709" s="5"/>
      <c r="Y709" s="5"/>
      <c r="Z709" s="5" t="str">
        <f>HYPERLINK("https://knigipp.ru/api/getInfo/image/2f6e13fd-0b75-11ef-a25d-00155d82e908")</f>
        <v>https://knigipp.ru/api/getInfo/image/2f6e13fd-0b75-11ef-a25d-00155d82e908</v>
      </c>
      <c r="AA709" s="33">
        <v>64</v>
      </c>
      <c r="AB709" s="5" t="s">
        <v>2984</v>
      </c>
      <c r="AC709" s="5" t="s">
        <v>86</v>
      </c>
      <c r="AD709" s="5"/>
      <c r="AE709" s="5" t="s">
        <v>49</v>
      </c>
      <c r="AF709" s="5"/>
      <c r="AG709" s="5"/>
      <c r="AH709" s="5" t="s">
        <v>2985</v>
      </c>
    </row>
    <row r="710" spans="2:34" ht="21" customHeight="1" outlineLevel="4" x14ac:dyDescent="0.2">
      <c r="B710" s="4">
        <v>523</v>
      </c>
      <c r="C710" s="5" t="s">
        <v>2986</v>
      </c>
      <c r="D710" s="5" t="s">
        <v>2987</v>
      </c>
      <c r="E710" s="6" t="s">
        <v>2988</v>
      </c>
      <c r="F710" s="10"/>
      <c r="G710" s="11" t="s">
        <v>2981</v>
      </c>
      <c r="H710" s="12">
        <v>10</v>
      </c>
      <c r="I710" s="13" t="s">
        <v>41</v>
      </c>
      <c r="J710" s="13"/>
      <c r="K710" s="13"/>
      <c r="L710" s="4">
        <v>3</v>
      </c>
      <c r="M710" s="14">
        <f>237*(1-P3/100)</f>
        <v>237</v>
      </c>
      <c r="N710" s="15"/>
      <c r="O710" s="13">
        <f>M710*N710</f>
        <v>0</v>
      </c>
      <c r="P710" s="22">
        <f>0.151*N710</f>
        <v>0</v>
      </c>
      <c r="Q710" s="23">
        <f>0.00037*N710</f>
        <v>0</v>
      </c>
      <c r="R710" s="24"/>
      <c r="S710" s="25" t="s">
        <v>2989</v>
      </c>
      <c r="T710" s="25" t="s">
        <v>94</v>
      </c>
      <c r="U710" s="5"/>
      <c r="V710" s="5" t="s">
        <v>2990</v>
      </c>
      <c r="W710" s="5" t="s">
        <v>46</v>
      </c>
      <c r="X710" s="5"/>
      <c r="Y710" s="5"/>
      <c r="Z710" s="5" t="str">
        <f>HYPERLINK("https://knigipp.ru/api/getInfo/image/72c63e21-0b75-11ef-a25d-00155d82e908")</f>
        <v>https://knigipp.ru/api/getInfo/image/72c63e21-0b75-11ef-a25d-00155d82e908</v>
      </c>
      <c r="AA710" s="33">
        <v>64</v>
      </c>
      <c r="AB710" s="5" t="s">
        <v>2984</v>
      </c>
      <c r="AC710" s="5" t="s">
        <v>86</v>
      </c>
      <c r="AD710" s="5"/>
      <c r="AE710" s="5" t="s">
        <v>49</v>
      </c>
      <c r="AF710" s="5"/>
      <c r="AG710" s="5"/>
      <c r="AH710" s="5" t="s">
        <v>2985</v>
      </c>
    </row>
    <row r="711" spans="2:34" ht="21" customHeight="1" outlineLevel="4" x14ac:dyDescent="0.2">
      <c r="B711" s="4">
        <v>524</v>
      </c>
      <c r="C711" s="5" t="s">
        <v>2991</v>
      </c>
      <c r="D711" s="5" t="s">
        <v>2992</v>
      </c>
      <c r="E711" s="6" t="s">
        <v>2993</v>
      </c>
      <c r="F711" s="10"/>
      <c r="G711" s="11" t="s">
        <v>2981</v>
      </c>
      <c r="H711" s="12">
        <v>10</v>
      </c>
      <c r="I711" s="13" t="s">
        <v>41</v>
      </c>
      <c r="J711" s="13"/>
      <c r="K711" s="13"/>
      <c r="L711" s="4">
        <v>3</v>
      </c>
      <c r="M711" s="14">
        <f>237*(1-P3/100)</f>
        <v>237</v>
      </c>
      <c r="N711" s="15"/>
      <c r="O711" s="13">
        <f>M711*N711</f>
        <v>0</v>
      </c>
      <c r="P711" s="22">
        <f>0.154*N711</f>
        <v>0</v>
      </c>
      <c r="Q711" s="23">
        <f>0.00162*N711</f>
        <v>0</v>
      </c>
      <c r="R711" s="24"/>
      <c r="S711" s="25" t="s">
        <v>2994</v>
      </c>
      <c r="T711" s="25" t="s">
        <v>94</v>
      </c>
      <c r="U711" s="5"/>
      <c r="V711" s="5" t="s">
        <v>2995</v>
      </c>
      <c r="W711" s="5" t="s">
        <v>46</v>
      </c>
      <c r="X711" s="5"/>
      <c r="Y711" s="5"/>
      <c r="Z711" s="5" t="str">
        <f>HYPERLINK("https://knigipp.ru/api/getInfo/image/d6f8f156-0b74-11ef-a25d-00155d82e908")</f>
        <v>https://knigipp.ru/api/getInfo/image/d6f8f156-0b74-11ef-a25d-00155d82e908</v>
      </c>
      <c r="AA711" s="33">
        <v>64</v>
      </c>
      <c r="AB711" s="5" t="s">
        <v>2984</v>
      </c>
      <c r="AC711" s="5" t="s">
        <v>86</v>
      </c>
      <c r="AD711" s="5"/>
      <c r="AE711" s="5" t="s">
        <v>49</v>
      </c>
      <c r="AF711" s="5"/>
      <c r="AG711" s="5"/>
      <c r="AH711" s="5" t="s">
        <v>2985</v>
      </c>
    </row>
    <row r="712" spans="2:34" ht="22.95" customHeight="1" outlineLevel="3" x14ac:dyDescent="0.2">
      <c r="B712" s="74" t="s">
        <v>2996</v>
      </c>
      <c r="C712" s="74"/>
      <c r="D712" s="74"/>
    </row>
    <row r="713" spans="2:34" ht="21" customHeight="1" outlineLevel="4" x14ac:dyDescent="0.2">
      <c r="B713" s="4">
        <v>525</v>
      </c>
      <c r="C713" s="5" t="s">
        <v>2997</v>
      </c>
      <c r="D713" s="5" t="s">
        <v>2998</v>
      </c>
      <c r="E713" s="6" t="s">
        <v>2999</v>
      </c>
      <c r="F713" s="10"/>
      <c r="G713" s="11" t="s">
        <v>3000</v>
      </c>
      <c r="H713" s="12">
        <v>10</v>
      </c>
      <c r="I713" s="13" t="s">
        <v>41</v>
      </c>
      <c r="J713" s="13"/>
      <c r="K713" s="13"/>
      <c r="L713" s="4">
        <v>2</v>
      </c>
      <c r="M713" s="14">
        <f>349*(1-P3/100)</f>
        <v>349</v>
      </c>
      <c r="N713" s="15"/>
      <c r="O713" s="13">
        <f>M713*N713</f>
        <v>0</v>
      </c>
      <c r="P713" s="22">
        <f>4.527*N713</f>
        <v>0</v>
      </c>
      <c r="Q713" s="23">
        <f>0.04438*N713</f>
        <v>0</v>
      </c>
      <c r="R713" s="24"/>
      <c r="S713" s="25" t="s">
        <v>3001</v>
      </c>
      <c r="T713" s="25" t="s">
        <v>94</v>
      </c>
      <c r="U713" s="5"/>
      <c r="V713" s="5" t="s">
        <v>3002</v>
      </c>
      <c r="W713" s="5" t="s">
        <v>46</v>
      </c>
      <c r="X713" s="5"/>
      <c r="Y713" s="5"/>
      <c r="Z713" s="5" t="str">
        <f>HYPERLINK("https://knigipp.ru/api/getInfo/image/06c7e0f1-4d57-11ee-a244-00155d82e902")</f>
        <v>https://knigipp.ru/api/getInfo/image/06c7e0f1-4d57-11ee-a244-00155d82e902</v>
      </c>
      <c r="AA713" s="33">
        <v>96</v>
      </c>
      <c r="AB713" s="5" t="s">
        <v>47</v>
      </c>
      <c r="AC713" s="5" t="s">
        <v>86</v>
      </c>
      <c r="AD713" s="5"/>
      <c r="AE713" s="5" t="s">
        <v>49</v>
      </c>
      <c r="AF713" s="5"/>
      <c r="AG713" s="5"/>
      <c r="AH713" s="5" t="s">
        <v>3003</v>
      </c>
    </row>
    <row r="714" spans="2:34" ht="21" customHeight="1" outlineLevel="4" x14ac:dyDescent="0.2">
      <c r="B714" s="4">
        <v>526</v>
      </c>
      <c r="C714" s="5" t="s">
        <v>3004</v>
      </c>
      <c r="D714" s="5" t="s">
        <v>3005</v>
      </c>
      <c r="E714" s="6" t="s">
        <v>3006</v>
      </c>
      <c r="F714" s="10"/>
      <c r="G714" s="11" t="s">
        <v>3000</v>
      </c>
      <c r="H714" s="12">
        <v>10</v>
      </c>
      <c r="I714" s="13" t="s">
        <v>41</v>
      </c>
      <c r="J714" s="13"/>
      <c r="K714" s="13"/>
      <c r="L714" s="4">
        <v>2</v>
      </c>
      <c r="M714" s="14">
        <f>349*(1-P3/100)</f>
        <v>349</v>
      </c>
      <c r="N714" s="15"/>
      <c r="O714" s="13">
        <f>M714*N714</f>
        <v>0</v>
      </c>
      <c r="P714" s="22">
        <f>4.527*N714</f>
        <v>0</v>
      </c>
      <c r="Q714" s="23">
        <f>0.04438*N714</f>
        <v>0</v>
      </c>
      <c r="R714" s="24"/>
      <c r="S714" s="25" t="s">
        <v>3007</v>
      </c>
      <c r="T714" s="25" t="s">
        <v>94</v>
      </c>
      <c r="U714" s="5"/>
      <c r="V714" s="5" t="s">
        <v>3008</v>
      </c>
      <c r="W714" s="5" t="s">
        <v>46</v>
      </c>
      <c r="X714" s="5"/>
      <c r="Y714" s="5"/>
      <c r="Z714" s="5" t="str">
        <f>HYPERLINK("https://knigipp.ru/api/getInfo/image/df972a97-4d56-11ee-a244-00155d82e902")</f>
        <v>https://knigipp.ru/api/getInfo/image/df972a97-4d56-11ee-a244-00155d82e902</v>
      </c>
      <c r="AA714" s="33">
        <v>96</v>
      </c>
      <c r="AB714" s="5" t="s">
        <v>47</v>
      </c>
      <c r="AC714" s="5" t="s">
        <v>86</v>
      </c>
      <c r="AD714" s="5"/>
      <c r="AE714" s="5" t="s">
        <v>49</v>
      </c>
      <c r="AF714" s="5"/>
      <c r="AG714" s="5"/>
      <c r="AH714" s="5" t="s">
        <v>3003</v>
      </c>
    </row>
    <row r="715" spans="2:34" ht="21" customHeight="1" outlineLevel="4" x14ac:dyDescent="0.2">
      <c r="B715" s="4">
        <v>527</v>
      </c>
      <c r="C715" s="5" t="s">
        <v>3009</v>
      </c>
      <c r="D715" s="5" t="s">
        <v>3010</v>
      </c>
      <c r="E715" s="6" t="s">
        <v>3011</v>
      </c>
      <c r="F715" s="10"/>
      <c r="G715" s="11" t="s">
        <v>3000</v>
      </c>
      <c r="H715" s="12">
        <v>10</v>
      </c>
      <c r="I715" s="13" t="s">
        <v>41</v>
      </c>
      <c r="J715" s="13"/>
      <c r="K715" s="13"/>
      <c r="L715" s="4">
        <v>2</v>
      </c>
      <c r="M715" s="14">
        <f>349*(1-P3/100)</f>
        <v>349</v>
      </c>
      <c r="N715" s="15"/>
      <c r="O715" s="13">
        <f>M715*N715</f>
        <v>0</v>
      </c>
      <c r="P715" s="22">
        <f>4.527*N715</f>
        <v>0</v>
      </c>
      <c r="Q715" s="23">
        <f>0.04438*N715</f>
        <v>0</v>
      </c>
      <c r="R715" s="24"/>
      <c r="S715" s="25" t="s">
        <v>3012</v>
      </c>
      <c r="T715" s="25" t="s">
        <v>94</v>
      </c>
      <c r="U715" s="5"/>
      <c r="V715" s="5" t="s">
        <v>3013</v>
      </c>
      <c r="W715" s="5" t="s">
        <v>46</v>
      </c>
      <c r="X715" s="5"/>
      <c r="Y715" s="5"/>
      <c r="Z715" s="5" t="str">
        <f>HYPERLINK("https://knigipp.ru/api/getInfo/image/50dbd007-4d57-11ee-a244-00155d82e902")</f>
        <v>https://knigipp.ru/api/getInfo/image/50dbd007-4d57-11ee-a244-00155d82e902</v>
      </c>
      <c r="AA715" s="33">
        <v>96</v>
      </c>
      <c r="AB715" s="5" t="s">
        <v>47</v>
      </c>
      <c r="AC715" s="5" t="s">
        <v>86</v>
      </c>
      <c r="AD715" s="5"/>
      <c r="AE715" s="5" t="s">
        <v>49</v>
      </c>
      <c r="AF715" s="5"/>
      <c r="AG715" s="5"/>
      <c r="AH715" s="5" t="s">
        <v>3003</v>
      </c>
    </row>
    <row r="716" spans="2:34" ht="22.95" customHeight="1" outlineLevel="3" x14ac:dyDescent="0.2">
      <c r="B716" s="74" t="s">
        <v>3014</v>
      </c>
      <c r="C716" s="74"/>
      <c r="D716" s="74"/>
    </row>
    <row r="717" spans="2:34" ht="21" customHeight="1" outlineLevel="4" x14ac:dyDescent="0.2">
      <c r="B717" s="4">
        <v>528</v>
      </c>
      <c r="C717" s="5" t="s">
        <v>3015</v>
      </c>
      <c r="D717" s="5" t="s">
        <v>3016</v>
      </c>
      <c r="E717" s="6" t="s">
        <v>3017</v>
      </c>
      <c r="F717" s="10"/>
      <c r="G717" s="11" t="s">
        <v>3018</v>
      </c>
      <c r="H717" s="12">
        <v>20</v>
      </c>
      <c r="I717" s="13" t="s">
        <v>41</v>
      </c>
      <c r="J717" s="13"/>
      <c r="K717" s="13"/>
      <c r="L717" s="4">
        <v>2</v>
      </c>
      <c r="M717" s="14">
        <f>297*(1-P3/100)</f>
        <v>297</v>
      </c>
      <c r="N717" s="15"/>
      <c r="O717" s="13">
        <f>M717*N717</f>
        <v>0</v>
      </c>
      <c r="P717" s="22">
        <f>0.114*N717</f>
        <v>0</v>
      </c>
      <c r="Q717" s="23">
        <f>0.00032*N717</f>
        <v>0</v>
      </c>
      <c r="R717" s="24"/>
      <c r="S717" s="25" t="s">
        <v>3019</v>
      </c>
      <c r="T717" s="25" t="s">
        <v>94</v>
      </c>
      <c r="U717" s="5"/>
      <c r="V717" s="5"/>
      <c r="W717" s="5" t="s">
        <v>46</v>
      </c>
      <c r="X717" s="5"/>
      <c r="Y717" s="5"/>
      <c r="Z717" s="5" t="str">
        <f>HYPERLINK("https://knigipp.ru/api/getInfo/image/8e1af5b4-e8e6-11ed-a233-00155d82e902")</f>
        <v>https://knigipp.ru/api/getInfo/image/8e1af5b4-e8e6-11ed-a233-00155d82e902</v>
      </c>
      <c r="AA717" s="33">
        <v>72</v>
      </c>
      <c r="AB717" s="5"/>
      <c r="AC717" s="5" t="s">
        <v>219</v>
      </c>
      <c r="AD717" s="5"/>
      <c r="AE717" s="5" t="s">
        <v>49</v>
      </c>
      <c r="AF717" s="5"/>
      <c r="AG717" s="5"/>
      <c r="AH717" s="5" t="s">
        <v>3020</v>
      </c>
    </row>
    <row r="718" spans="2:34" ht="21" customHeight="1" outlineLevel="4" x14ac:dyDescent="0.2">
      <c r="B718" s="4">
        <v>529</v>
      </c>
      <c r="C718" s="5" t="s">
        <v>3021</v>
      </c>
      <c r="D718" s="5" t="s">
        <v>3022</v>
      </c>
      <c r="E718" s="6" t="s">
        <v>3023</v>
      </c>
      <c r="F718" s="10"/>
      <c r="G718" s="11" t="s">
        <v>3018</v>
      </c>
      <c r="H718" s="12">
        <v>20</v>
      </c>
      <c r="I718" s="13" t="s">
        <v>41</v>
      </c>
      <c r="J718" s="13"/>
      <c r="K718" s="13"/>
      <c r="L718" s="4">
        <v>2</v>
      </c>
      <c r="M718" s="14">
        <f>297*(1-P3/100)</f>
        <v>297</v>
      </c>
      <c r="N718" s="15"/>
      <c r="O718" s="13">
        <f>M718*N718</f>
        <v>0</v>
      </c>
      <c r="P718" s="22">
        <f>0.114*N718</f>
        <v>0</v>
      </c>
      <c r="Q718" s="23">
        <f>0.00032*N718</f>
        <v>0</v>
      </c>
      <c r="R718" s="24"/>
      <c r="S718" s="25" t="s">
        <v>3024</v>
      </c>
      <c r="T718" s="25" t="s">
        <v>94</v>
      </c>
      <c r="U718" s="5"/>
      <c r="V718" s="5"/>
      <c r="W718" s="5" t="s">
        <v>46</v>
      </c>
      <c r="X718" s="5"/>
      <c r="Y718" s="5"/>
      <c r="Z718" s="5" t="str">
        <f>HYPERLINK("https://knigipp.ru/api/getInfo/image/b565f43d-e8e6-11ed-a233-00155d82e902")</f>
        <v>https://knigipp.ru/api/getInfo/image/b565f43d-e8e6-11ed-a233-00155d82e902</v>
      </c>
      <c r="AA718" s="33">
        <v>72</v>
      </c>
      <c r="AB718" s="5"/>
      <c r="AC718" s="5" t="s">
        <v>219</v>
      </c>
      <c r="AD718" s="5"/>
      <c r="AE718" s="5" t="s">
        <v>49</v>
      </c>
      <c r="AF718" s="5"/>
      <c r="AG718" s="5"/>
      <c r="AH718" s="5" t="s">
        <v>3020</v>
      </c>
    </row>
    <row r="719" spans="2:34" ht="21" customHeight="1" outlineLevel="4" x14ac:dyDescent="0.2">
      <c r="B719" s="4">
        <v>530</v>
      </c>
      <c r="C719" s="5" t="s">
        <v>3025</v>
      </c>
      <c r="D719" s="5" t="s">
        <v>3026</v>
      </c>
      <c r="E719" s="6" t="s">
        <v>3027</v>
      </c>
      <c r="F719" s="10"/>
      <c r="G719" s="11" t="s">
        <v>3018</v>
      </c>
      <c r="H719" s="12">
        <v>20</v>
      </c>
      <c r="I719" s="13" t="s">
        <v>41</v>
      </c>
      <c r="J719" s="13"/>
      <c r="K719" s="13"/>
      <c r="L719" s="4">
        <v>2</v>
      </c>
      <c r="M719" s="14">
        <f>297*(1-P3/100)</f>
        <v>297</v>
      </c>
      <c r="N719" s="15"/>
      <c r="O719" s="13">
        <f>M719*N719</f>
        <v>0</v>
      </c>
      <c r="P719" s="22">
        <f>0.114*N719</f>
        <v>0</v>
      </c>
      <c r="Q719" s="23">
        <f>0.00032*N719</f>
        <v>0</v>
      </c>
      <c r="R719" s="24"/>
      <c r="S719" s="25" t="s">
        <v>3028</v>
      </c>
      <c r="T719" s="25" t="s">
        <v>94</v>
      </c>
      <c r="U719" s="5"/>
      <c r="V719" s="5"/>
      <c r="W719" s="5" t="s">
        <v>46</v>
      </c>
      <c r="X719" s="5"/>
      <c r="Y719" s="5"/>
      <c r="Z719" s="5" t="str">
        <f>HYPERLINK("https://knigipp.ru/api/getInfo/image/619d8c32-e8e6-11ed-a233-00155d82e902")</f>
        <v>https://knigipp.ru/api/getInfo/image/619d8c32-e8e6-11ed-a233-00155d82e902</v>
      </c>
      <c r="AA719" s="33">
        <v>72</v>
      </c>
      <c r="AB719" s="5"/>
      <c r="AC719" s="5" t="s">
        <v>219</v>
      </c>
      <c r="AD719" s="5"/>
      <c r="AE719" s="5" t="s">
        <v>49</v>
      </c>
      <c r="AF719" s="5"/>
      <c r="AG719" s="5"/>
      <c r="AH719" s="5" t="s">
        <v>3020</v>
      </c>
    </row>
    <row r="720" spans="2:34" ht="21" customHeight="1" outlineLevel="4" x14ac:dyDescent="0.2">
      <c r="B720" s="4">
        <v>531</v>
      </c>
      <c r="C720" s="5" t="s">
        <v>3029</v>
      </c>
      <c r="D720" s="5" t="s">
        <v>3030</v>
      </c>
      <c r="E720" s="6" t="s">
        <v>3031</v>
      </c>
      <c r="F720" s="10"/>
      <c r="G720" s="11" t="s">
        <v>3018</v>
      </c>
      <c r="H720" s="12">
        <v>20</v>
      </c>
      <c r="I720" s="13" t="s">
        <v>41</v>
      </c>
      <c r="J720" s="13"/>
      <c r="K720" s="13"/>
      <c r="L720" s="4">
        <v>2</v>
      </c>
      <c r="M720" s="14">
        <f>297*(1-P3/100)</f>
        <v>297</v>
      </c>
      <c r="N720" s="15"/>
      <c r="O720" s="13">
        <f>M720*N720</f>
        <v>0</v>
      </c>
      <c r="P720" s="22">
        <f>0.114*N720</f>
        <v>0</v>
      </c>
      <c r="Q720" s="23">
        <f>0.00032*N720</f>
        <v>0</v>
      </c>
      <c r="R720" s="24"/>
      <c r="S720" s="25" t="s">
        <v>3032</v>
      </c>
      <c r="T720" s="25" t="s">
        <v>94</v>
      </c>
      <c r="U720" s="5"/>
      <c r="V720" s="5"/>
      <c r="W720" s="5" t="s">
        <v>46</v>
      </c>
      <c r="X720" s="5"/>
      <c r="Y720" s="5"/>
      <c r="Z720" s="5" t="str">
        <f>HYPERLINK("https://knigipp.ru/api/getInfo/image/d6653bc1-e8e6-11ed-a233-00155d82e902")</f>
        <v>https://knigipp.ru/api/getInfo/image/d6653bc1-e8e6-11ed-a233-00155d82e902</v>
      </c>
      <c r="AA720" s="33">
        <v>72</v>
      </c>
      <c r="AB720" s="5"/>
      <c r="AC720" s="5" t="s">
        <v>219</v>
      </c>
      <c r="AD720" s="5"/>
      <c r="AE720" s="5" t="s">
        <v>49</v>
      </c>
      <c r="AF720" s="5"/>
      <c r="AG720" s="5"/>
      <c r="AH720" s="5" t="s">
        <v>3020</v>
      </c>
    </row>
    <row r="721" spans="2:34" ht="21" customHeight="1" outlineLevel="4" x14ac:dyDescent="0.2">
      <c r="B721" s="4">
        <v>532</v>
      </c>
      <c r="C721" s="5" t="s">
        <v>3033</v>
      </c>
      <c r="D721" s="5" t="s">
        <v>3034</v>
      </c>
      <c r="E721" s="6" t="s">
        <v>3035</v>
      </c>
      <c r="F721" s="10"/>
      <c r="G721" s="11" t="s">
        <v>3018</v>
      </c>
      <c r="H721" s="12">
        <v>20</v>
      </c>
      <c r="I721" s="13" t="s">
        <v>41</v>
      </c>
      <c r="J721" s="13"/>
      <c r="K721" s="13"/>
      <c r="L721" s="4">
        <v>2</v>
      </c>
      <c r="M721" s="14">
        <f>297*(1-P3/100)</f>
        <v>297</v>
      </c>
      <c r="N721" s="15"/>
      <c r="O721" s="13">
        <f>M721*N721</f>
        <v>0</v>
      </c>
      <c r="P721" s="22">
        <f>0.114*N721</f>
        <v>0</v>
      </c>
      <c r="Q721" s="23">
        <f>0.00032*N721</f>
        <v>0</v>
      </c>
      <c r="R721" s="24"/>
      <c r="S721" s="25" t="s">
        <v>3036</v>
      </c>
      <c r="T721" s="25" t="s">
        <v>94</v>
      </c>
      <c r="U721" s="5"/>
      <c r="V721" s="5"/>
      <c r="W721" s="5" t="s">
        <v>46</v>
      </c>
      <c r="X721" s="5"/>
      <c r="Y721" s="5"/>
      <c r="Z721" s="5" t="str">
        <f>HYPERLINK("https://knigipp.ru/api/getInfo/image/2b947972-e8e6-11ed-a233-00155d82e902")</f>
        <v>https://knigipp.ru/api/getInfo/image/2b947972-e8e6-11ed-a233-00155d82e902</v>
      </c>
      <c r="AA721" s="33">
        <v>72</v>
      </c>
      <c r="AB721" s="5"/>
      <c r="AC721" s="5" t="s">
        <v>219</v>
      </c>
      <c r="AD721" s="5"/>
      <c r="AE721" s="5" t="s">
        <v>49</v>
      </c>
      <c r="AF721" s="5"/>
      <c r="AG721" s="5"/>
      <c r="AH721" s="5" t="s">
        <v>3020</v>
      </c>
    </row>
    <row r="722" spans="2:34" ht="22.95" customHeight="1" outlineLevel="2" x14ac:dyDescent="0.2">
      <c r="B722" s="73" t="s">
        <v>3037</v>
      </c>
      <c r="C722" s="73"/>
      <c r="D722" s="73"/>
    </row>
    <row r="723" spans="2:34" ht="22.95" customHeight="1" outlineLevel="3" x14ac:dyDescent="0.2">
      <c r="B723" s="74" t="s">
        <v>3038</v>
      </c>
      <c r="C723" s="74"/>
      <c r="D723" s="74"/>
    </row>
    <row r="724" spans="2:34" ht="21" customHeight="1" outlineLevel="4" x14ac:dyDescent="0.2">
      <c r="B724" s="4">
        <v>533</v>
      </c>
      <c r="C724" s="5" t="s">
        <v>3039</v>
      </c>
      <c r="D724" s="5" t="s">
        <v>3040</v>
      </c>
      <c r="E724" s="6" t="s">
        <v>3041</v>
      </c>
      <c r="F724" s="10"/>
      <c r="G724" s="11" t="s">
        <v>3042</v>
      </c>
      <c r="H724" s="12">
        <v>10</v>
      </c>
      <c r="I724" s="13" t="s">
        <v>41</v>
      </c>
      <c r="J724" s="13"/>
      <c r="K724" s="13"/>
      <c r="L724" s="4">
        <v>2</v>
      </c>
      <c r="M724" s="14">
        <f>299*(1-P3/100)</f>
        <v>299</v>
      </c>
      <c r="N724" s="15"/>
      <c r="O724" s="13">
        <f t="shared" ref="O724:O729" si="20">M724*N724</f>
        <v>0</v>
      </c>
      <c r="P724" s="22">
        <f>0.295*N724</f>
        <v>0</v>
      </c>
      <c r="Q724" s="23">
        <f>0.00053*N724</f>
        <v>0</v>
      </c>
      <c r="R724" s="24"/>
      <c r="S724" s="25" t="s">
        <v>3043</v>
      </c>
      <c r="T724" s="25" t="s">
        <v>94</v>
      </c>
      <c r="U724" s="5"/>
      <c r="V724" s="5"/>
      <c r="W724" s="5" t="s">
        <v>46</v>
      </c>
      <c r="X724" s="5"/>
      <c r="Y724" s="5"/>
      <c r="Z724" s="5" t="str">
        <f>HYPERLINK("https://knigipp.ru/api/getInfo/image/37275a59-721a-11ed-a22a-00155d82e902")</f>
        <v>https://knigipp.ru/api/getInfo/image/37275a59-721a-11ed-a22a-00155d82e902</v>
      </c>
      <c r="AA724" s="33">
        <v>160</v>
      </c>
      <c r="AB724" s="5" t="s">
        <v>574</v>
      </c>
      <c r="AC724" s="5" t="s">
        <v>86</v>
      </c>
      <c r="AD724" s="5"/>
      <c r="AE724" s="5" t="s">
        <v>49</v>
      </c>
      <c r="AF724" s="5"/>
      <c r="AG724" s="5"/>
      <c r="AH724" s="5" t="s">
        <v>2408</v>
      </c>
    </row>
    <row r="725" spans="2:34" ht="21" customHeight="1" outlineLevel="4" x14ac:dyDescent="0.2">
      <c r="B725" s="4">
        <v>534</v>
      </c>
      <c r="C725" s="5" t="s">
        <v>3044</v>
      </c>
      <c r="D725" s="5" t="s">
        <v>3045</v>
      </c>
      <c r="E725" s="6" t="s">
        <v>3046</v>
      </c>
      <c r="F725" s="10"/>
      <c r="G725" s="11" t="s">
        <v>3047</v>
      </c>
      <c r="H725" s="12">
        <v>22</v>
      </c>
      <c r="I725" s="13" t="s">
        <v>41</v>
      </c>
      <c r="J725" s="13"/>
      <c r="K725" s="13"/>
      <c r="L725" s="4">
        <v>2</v>
      </c>
      <c r="M725" s="14">
        <f>299*(1-P3/100)</f>
        <v>299</v>
      </c>
      <c r="N725" s="15"/>
      <c r="O725" s="13">
        <f t="shared" si="20"/>
        <v>0</v>
      </c>
      <c r="P725" s="22">
        <f>0.258*N725</f>
        <v>0</v>
      </c>
      <c r="Q725" s="23">
        <f>0.00066*N725</f>
        <v>0</v>
      </c>
      <c r="R725" s="24"/>
      <c r="S725" s="25" t="s">
        <v>3048</v>
      </c>
      <c r="T725" s="25" t="s">
        <v>94</v>
      </c>
      <c r="U725" s="5"/>
      <c r="V725" s="5" t="s">
        <v>3049</v>
      </c>
      <c r="W725" s="5" t="s">
        <v>46</v>
      </c>
      <c r="X725" s="5" t="s">
        <v>3050</v>
      </c>
      <c r="Y725" s="5"/>
      <c r="Z725" s="5" t="str">
        <f>HYPERLINK("https://knigipp.ru/api/getInfo/image/e9fdb994-edd5-11ee-a25b-00155d82e908")</f>
        <v>https://knigipp.ru/api/getInfo/image/e9fdb994-edd5-11ee-a25b-00155d82e908</v>
      </c>
      <c r="AA725" s="33">
        <v>160</v>
      </c>
      <c r="AB725" s="5"/>
      <c r="AC725" s="5" t="s">
        <v>86</v>
      </c>
      <c r="AD725" s="5"/>
      <c r="AE725" s="5" t="s">
        <v>49</v>
      </c>
      <c r="AF725" s="5"/>
      <c r="AG725" s="5"/>
      <c r="AH725" s="5" t="s">
        <v>3051</v>
      </c>
    </row>
    <row r="726" spans="2:34" ht="21" customHeight="1" outlineLevel="4" x14ac:dyDescent="0.2">
      <c r="B726" s="4">
        <v>535</v>
      </c>
      <c r="C726" s="5" t="s">
        <v>3052</v>
      </c>
      <c r="D726" s="5" t="s">
        <v>3053</v>
      </c>
      <c r="E726" s="6" t="s">
        <v>3054</v>
      </c>
      <c r="F726" s="10"/>
      <c r="G726" s="11" t="s">
        <v>3055</v>
      </c>
      <c r="H726" s="12">
        <v>10</v>
      </c>
      <c r="I726" s="13" t="s">
        <v>41</v>
      </c>
      <c r="J726" s="13"/>
      <c r="K726" s="13"/>
      <c r="L726" s="4">
        <v>2</v>
      </c>
      <c r="M726" s="14">
        <f>299*(1-P3/100)</f>
        <v>299</v>
      </c>
      <c r="N726" s="15"/>
      <c r="O726" s="13">
        <f t="shared" si="20"/>
        <v>0</v>
      </c>
      <c r="P726" s="22">
        <f>0.258*N726</f>
        <v>0</v>
      </c>
      <c r="Q726" s="23">
        <f>0.00066*N726</f>
        <v>0</v>
      </c>
      <c r="R726" s="24"/>
      <c r="S726" s="25" t="s">
        <v>3056</v>
      </c>
      <c r="T726" s="25" t="s">
        <v>94</v>
      </c>
      <c r="U726" s="5"/>
      <c r="V726" s="5"/>
      <c r="W726" s="5" t="s">
        <v>46</v>
      </c>
      <c r="X726" s="5"/>
      <c r="Y726" s="5"/>
      <c r="Z726" s="5" t="str">
        <f>HYPERLINK("https://knigipp.ru/api/getInfo/image/16c3db4e-ae42-11eb-a201-ac1f6b442185")</f>
        <v>https://knigipp.ru/api/getInfo/image/16c3db4e-ae42-11eb-a201-ac1f6b442185</v>
      </c>
      <c r="AA726" s="33">
        <v>160</v>
      </c>
      <c r="AB726" s="5"/>
      <c r="AC726" s="5" t="s">
        <v>86</v>
      </c>
      <c r="AD726" s="5"/>
      <c r="AE726" s="5" t="s">
        <v>49</v>
      </c>
      <c r="AF726" s="5"/>
      <c r="AG726" s="5"/>
      <c r="AH726" s="5" t="s">
        <v>3051</v>
      </c>
    </row>
    <row r="727" spans="2:34" ht="21" customHeight="1" outlineLevel="4" x14ac:dyDescent="0.2">
      <c r="B727" s="4">
        <v>536</v>
      </c>
      <c r="C727" s="5" t="s">
        <v>3052</v>
      </c>
      <c r="D727" s="5" t="s">
        <v>3053</v>
      </c>
      <c r="E727" s="6" t="s">
        <v>3054</v>
      </c>
      <c r="F727" s="10"/>
      <c r="G727" s="11" t="s">
        <v>3055</v>
      </c>
      <c r="H727" s="12">
        <v>22</v>
      </c>
      <c r="I727" s="13" t="s">
        <v>41</v>
      </c>
      <c r="J727" s="13"/>
      <c r="K727" s="13"/>
      <c r="L727" s="4">
        <v>2</v>
      </c>
      <c r="M727" s="14">
        <f>299*(1-P3/100)</f>
        <v>299</v>
      </c>
      <c r="N727" s="15"/>
      <c r="O727" s="13">
        <f t="shared" si="20"/>
        <v>0</v>
      </c>
      <c r="P727" s="22">
        <f>0.258*N727</f>
        <v>0</v>
      </c>
      <c r="Q727" s="23">
        <f>0.00066*N727</f>
        <v>0</v>
      </c>
      <c r="R727" s="24"/>
      <c r="S727" s="25" t="s">
        <v>3056</v>
      </c>
      <c r="T727" s="25" t="s">
        <v>94</v>
      </c>
      <c r="U727" s="5"/>
      <c r="V727" s="5"/>
      <c r="W727" s="5" t="s">
        <v>46</v>
      </c>
      <c r="X727" s="5"/>
      <c r="Y727" s="5"/>
      <c r="Z727" s="5" t="str">
        <f>HYPERLINK("https://knigipp.ru/api/getInfo/image/16c3db4e-ae42-11eb-a201-ac1f6b442185")</f>
        <v>https://knigipp.ru/api/getInfo/image/16c3db4e-ae42-11eb-a201-ac1f6b442185</v>
      </c>
      <c r="AA727" s="33">
        <v>160</v>
      </c>
      <c r="AB727" s="5"/>
      <c r="AC727" s="5" t="s">
        <v>86</v>
      </c>
      <c r="AD727" s="5"/>
      <c r="AE727" s="5" t="s">
        <v>49</v>
      </c>
      <c r="AF727" s="5"/>
      <c r="AG727" s="5"/>
      <c r="AH727" s="5" t="s">
        <v>3051</v>
      </c>
    </row>
    <row r="728" spans="2:34" ht="21" customHeight="1" outlineLevel="4" x14ac:dyDescent="0.2">
      <c r="B728" s="4">
        <v>537</v>
      </c>
      <c r="C728" s="5" t="s">
        <v>3057</v>
      </c>
      <c r="D728" s="5" t="s">
        <v>3058</v>
      </c>
      <c r="E728" s="6" t="s">
        <v>3059</v>
      </c>
      <c r="F728" s="10"/>
      <c r="G728" s="11" t="s">
        <v>3055</v>
      </c>
      <c r="H728" s="12">
        <v>10</v>
      </c>
      <c r="I728" s="13" t="s">
        <v>41</v>
      </c>
      <c r="J728" s="13"/>
      <c r="K728" s="13"/>
      <c r="L728" s="4">
        <v>2</v>
      </c>
      <c r="M728" s="14">
        <f>299*(1-P3/100)</f>
        <v>299</v>
      </c>
      <c r="N728" s="15"/>
      <c r="O728" s="13">
        <f t="shared" si="20"/>
        <v>0</v>
      </c>
      <c r="P728" s="22">
        <f>0.295*N728</f>
        <v>0</v>
      </c>
      <c r="Q728" s="23">
        <f>0.00053*N728</f>
        <v>0</v>
      </c>
      <c r="R728" s="24"/>
      <c r="S728" s="25" t="s">
        <v>3060</v>
      </c>
      <c r="T728" s="25" t="s">
        <v>94</v>
      </c>
      <c r="U728" s="5"/>
      <c r="V728" s="5"/>
      <c r="W728" s="5" t="s">
        <v>46</v>
      </c>
      <c r="X728" s="5"/>
      <c r="Y728" s="5"/>
      <c r="Z728" s="5" t="str">
        <f>HYPERLINK("https://knigipp.ru/api/getInfo/image/5c42d60a-ae42-11eb-a201-ac1f6b442185")</f>
        <v>https://knigipp.ru/api/getInfo/image/5c42d60a-ae42-11eb-a201-ac1f6b442185</v>
      </c>
      <c r="AA728" s="33">
        <v>160</v>
      </c>
      <c r="AB728" s="5"/>
      <c r="AC728" s="5" t="s">
        <v>86</v>
      </c>
      <c r="AD728" s="5"/>
      <c r="AE728" s="5" t="s">
        <v>49</v>
      </c>
      <c r="AF728" s="5"/>
      <c r="AG728" s="5"/>
      <c r="AH728" s="5" t="s">
        <v>3051</v>
      </c>
    </row>
    <row r="729" spans="2:34" ht="21" customHeight="1" outlineLevel="4" x14ac:dyDescent="0.2">
      <c r="B729" s="4">
        <v>538</v>
      </c>
      <c r="C729" s="5" t="s">
        <v>3057</v>
      </c>
      <c r="D729" s="5" t="s">
        <v>3058</v>
      </c>
      <c r="E729" s="6" t="s">
        <v>3059</v>
      </c>
      <c r="F729" s="10"/>
      <c r="G729" s="11" t="s">
        <v>3055</v>
      </c>
      <c r="H729" s="12">
        <v>22</v>
      </c>
      <c r="I729" s="13" t="s">
        <v>41</v>
      </c>
      <c r="J729" s="13"/>
      <c r="K729" s="13"/>
      <c r="L729" s="4">
        <v>2</v>
      </c>
      <c r="M729" s="14">
        <f>299*(1-P3/100)</f>
        <v>299</v>
      </c>
      <c r="N729" s="15"/>
      <c r="O729" s="13">
        <f t="shared" si="20"/>
        <v>0</v>
      </c>
      <c r="P729" s="22">
        <f>0.295*N729</f>
        <v>0</v>
      </c>
      <c r="Q729" s="23">
        <f>0.00053*N729</f>
        <v>0</v>
      </c>
      <c r="R729" s="24"/>
      <c r="S729" s="25" t="s">
        <v>3060</v>
      </c>
      <c r="T729" s="25" t="s">
        <v>94</v>
      </c>
      <c r="U729" s="5"/>
      <c r="V729" s="5"/>
      <c r="W729" s="5" t="s">
        <v>46</v>
      </c>
      <c r="X729" s="5"/>
      <c r="Y729" s="5"/>
      <c r="Z729" s="5" t="str">
        <f>HYPERLINK("https://knigipp.ru/api/getInfo/image/5c42d60a-ae42-11eb-a201-ac1f6b442185")</f>
        <v>https://knigipp.ru/api/getInfo/image/5c42d60a-ae42-11eb-a201-ac1f6b442185</v>
      </c>
      <c r="AA729" s="33">
        <v>160</v>
      </c>
      <c r="AB729" s="5"/>
      <c r="AC729" s="5" t="s">
        <v>86</v>
      </c>
      <c r="AD729" s="5"/>
      <c r="AE729" s="5" t="s">
        <v>49</v>
      </c>
      <c r="AF729" s="5"/>
      <c r="AG729" s="5"/>
      <c r="AH729" s="5" t="s">
        <v>3051</v>
      </c>
    </row>
    <row r="730" spans="2:34" ht="22.95" customHeight="1" outlineLevel="3" x14ac:dyDescent="0.2">
      <c r="B730" s="74" t="s">
        <v>3061</v>
      </c>
      <c r="C730" s="74"/>
      <c r="D730" s="74"/>
    </row>
    <row r="731" spans="2:34" ht="21" customHeight="1" outlineLevel="4" x14ac:dyDescent="0.2">
      <c r="B731" s="4">
        <v>539</v>
      </c>
      <c r="C731" s="5" t="s">
        <v>3062</v>
      </c>
      <c r="D731" s="5" t="s">
        <v>3063</v>
      </c>
      <c r="E731" s="6" t="s">
        <v>3064</v>
      </c>
      <c r="F731" s="10"/>
      <c r="G731" s="11" t="s">
        <v>3065</v>
      </c>
      <c r="H731" s="12">
        <v>10</v>
      </c>
      <c r="I731" s="13" t="s">
        <v>41</v>
      </c>
      <c r="J731" s="13"/>
      <c r="K731" s="13"/>
      <c r="L731" s="4">
        <v>2</v>
      </c>
      <c r="M731" s="14">
        <f>299*(1-P3/100)</f>
        <v>299</v>
      </c>
      <c r="N731" s="15"/>
      <c r="O731" s="13">
        <f>M731*N731</f>
        <v>0</v>
      </c>
      <c r="P731" s="13">
        <v>0</v>
      </c>
      <c r="Q731" s="13">
        <v>0</v>
      </c>
      <c r="R731" s="24"/>
      <c r="S731" s="25" t="s">
        <v>3066</v>
      </c>
      <c r="T731" s="25" t="s">
        <v>94</v>
      </c>
      <c r="U731" s="5"/>
      <c r="V731" s="5"/>
      <c r="W731" s="5" t="s">
        <v>46</v>
      </c>
      <c r="X731" s="5"/>
      <c r="Y731" s="5"/>
      <c r="Z731" s="5" t="str">
        <f>HYPERLINK("https://knigipp.ru/api/getInfo/image/5af8d139-adb2-11eb-a201-ac1f6b442185")</f>
        <v>https://knigipp.ru/api/getInfo/image/5af8d139-adb2-11eb-a201-ac1f6b442185</v>
      </c>
      <c r="AA731" s="33">
        <v>128</v>
      </c>
      <c r="AB731" s="5"/>
      <c r="AC731" s="5" t="s">
        <v>219</v>
      </c>
      <c r="AD731" s="5"/>
      <c r="AE731" s="5" t="s">
        <v>49</v>
      </c>
      <c r="AF731" s="5"/>
      <c r="AG731" s="5"/>
      <c r="AH731" s="5" t="s">
        <v>3067</v>
      </c>
    </row>
    <row r="732" spans="2:34" ht="22.95" customHeight="1" outlineLevel="3" x14ac:dyDescent="0.2">
      <c r="B732" s="74" t="s">
        <v>3068</v>
      </c>
      <c r="C732" s="74"/>
      <c r="D732" s="74"/>
    </row>
    <row r="733" spans="2:34" ht="21" customHeight="1" outlineLevel="4" x14ac:dyDescent="0.2">
      <c r="B733" s="4">
        <v>540</v>
      </c>
      <c r="C733" s="5" t="s">
        <v>3069</v>
      </c>
      <c r="D733" s="5" t="s">
        <v>3070</v>
      </c>
      <c r="E733" s="6" t="s">
        <v>3071</v>
      </c>
      <c r="F733" s="10"/>
      <c r="G733" s="11"/>
      <c r="H733" s="12">
        <v>10</v>
      </c>
      <c r="I733" s="13" t="s">
        <v>41</v>
      </c>
      <c r="J733" s="13"/>
      <c r="K733" s="13"/>
      <c r="L733" s="4">
        <v>2</v>
      </c>
      <c r="M733" s="14">
        <f>299*(1-P3/100)</f>
        <v>299</v>
      </c>
      <c r="N733" s="15"/>
      <c r="O733" s="13">
        <f>M733*N733</f>
        <v>0</v>
      </c>
      <c r="P733" s="22">
        <f>0.264*N733</f>
        <v>0</v>
      </c>
      <c r="Q733" s="23">
        <f>0.00055*N733</f>
        <v>0</v>
      </c>
      <c r="R733" s="24"/>
      <c r="S733" s="25" t="s">
        <v>3072</v>
      </c>
      <c r="T733" s="25" t="s">
        <v>94</v>
      </c>
      <c r="U733" s="5"/>
      <c r="V733" s="5" t="s">
        <v>3073</v>
      </c>
      <c r="W733" s="5" t="s">
        <v>46</v>
      </c>
      <c r="X733" s="5" t="s">
        <v>3074</v>
      </c>
      <c r="Y733" s="5"/>
      <c r="Z733" s="5" t="str">
        <f>HYPERLINK("https://knigipp.ru/api/getInfo/image/6fa48b16-da02-11ee-a25a-00155d82e908")</f>
        <v>https://knigipp.ru/api/getInfo/image/6fa48b16-da02-11ee-a25a-00155d82e908</v>
      </c>
      <c r="AA733" s="33">
        <v>160</v>
      </c>
      <c r="AB733" s="5" t="s">
        <v>47</v>
      </c>
      <c r="AC733" s="5" t="s">
        <v>86</v>
      </c>
      <c r="AD733" s="5"/>
      <c r="AE733" s="5" t="s">
        <v>49</v>
      </c>
      <c r="AF733" s="5"/>
      <c r="AG733" s="5"/>
      <c r="AH733" s="5" t="s">
        <v>3075</v>
      </c>
    </row>
    <row r="734" spans="2:34" ht="21" customHeight="1" outlineLevel="4" x14ac:dyDescent="0.2">
      <c r="B734" s="4">
        <v>541</v>
      </c>
      <c r="C734" s="5" t="s">
        <v>3076</v>
      </c>
      <c r="D734" s="5" t="s">
        <v>3077</v>
      </c>
      <c r="E734" s="6" t="s">
        <v>3078</v>
      </c>
      <c r="F734" s="10"/>
      <c r="G734" s="11"/>
      <c r="H734" s="12">
        <v>10</v>
      </c>
      <c r="I734" s="13" t="s">
        <v>41</v>
      </c>
      <c r="J734" s="13"/>
      <c r="K734" s="13"/>
      <c r="L734" s="4">
        <v>2</v>
      </c>
      <c r="M734" s="14">
        <f>299*(1-P3/100)</f>
        <v>299</v>
      </c>
      <c r="N734" s="15"/>
      <c r="O734" s="13">
        <f>M734*N734</f>
        <v>0</v>
      </c>
      <c r="P734" s="22">
        <f>0.264*N734</f>
        <v>0</v>
      </c>
      <c r="Q734" s="23">
        <f>0.00055*N734</f>
        <v>0</v>
      </c>
      <c r="R734" s="24"/>
      <c r="S734" s="25" t="s">
        <v>3079</v>
      </c>
      <c r="T734" s="25" t="s">
        <v>94</v>
      </c>
      <c r="U734" s="5"/>
      <c r="V734" s="5" t="s">
        <v>3080</v>
      </c>
      <c r="W734" s="5" t="s">
        <v>46</v>
      </c>
      <c r="X734" s="5" t="s">
        <v>3074</v>
      </c>
      <c r="Y734" s="5"/>
      <c r="Z734" s="5" t="str">
        <f>HYPERLINK("https://knigipp.ru/api/getInfo/image/a08920be-da02-11ee-a25a-00155d82e908")</f>
        <v>https://knigipp.ru/api/getInfo/image/a08920be-da02-11ee-a25a-00155d82e908</v>
      </c>
      <c r="AA734" s="33">
        <v>160</v>
      </c>
      <c r="AB734" s="5" t="s">
        <v>47</v>
      </c>
      <c r="AC734" s="5" t="s">
        <v>86</v>
      </c>
      <c r="AD734" s="5"/>
      <c r="AE734" s="5" t="s">
        <v>49</v>
      </c>
      <c r="AF734" s="5"/>
      <c r="AG734" s="5"/>
      <c r="AH734" s="5" t="s">
        <v>3075</v>
      </c>
    </row>
    <row r="735" spans="2:34" ht="22.95" customHeight="1" outlineLevel="2" x14ac:dyDescent="0.2">
      <c r="B735" s="73" t="s">
        <v>3081</v>
      </c>
      <c r="C735" s="73"/>
      <c r="D735" s="73"/>
    </row>
    <row r="736" spans="2:34" ht="22.95" customHeight="1" outlineLevel="3" x14ac:dyDescent="0.2">
      <c r="B736" s="74" t="s">
        <v>3082</v>
      </c>
      <c r="C736" s="74"/>
      <c r="D736" s="74"/>
    </row>
    <row r="737" spans="2:34" ht="21" customHeight="1" outlineLevel="4" x14ac:dyDescent="0.2">
      <c r="B737" s="4">
        <v>542</v>
      </c>
      <c r="C737" s="5" t="s">
        <v>3083</v>
      </c>
      <c r="D737" s="5" t="s">
        <v>3084</v>
      </c>
      <c r="E737" s="6" t="s">
        <v>3085</v>
      </c>
      <c r="F737" s="10"/>
      <c r="G737" s="11" t="s">
        <v>3086</v>
      </c>
      <c r="H737" s="12">
        <v>20</v>
      </c>
      <c r="I737" s="13" t="s">
        <v>41</v>
      </c>
      <c r="J737" s="13"/>
      <c r="K737" s="13"/>
      <c r="L737" s="4">
        <v>2</v>
      </c>
      <c r="M737" s="14">
        <f>327*(1-P3/100)</f>
        <v>327</v>
      </c>
      <c r="N737" s="15"/>
      <c r="O737" s="13">
        <f>M737*N737</f>
        <v>0</v>
      </c>
      <c r="P737" s="22">
        <f>0.367*N737</f>
        <v>0</v>
      </c>
      <c r="Q737" s="23">
        <f>0.00066*N737</f>
        <v>0</v>
      </c>
      <c r="R737" s="24"/>
      <c r="S737" s="25" t="s">
        <v>3087</v>
      </c>
      <c r="T737" s="25" t="s">
        <v>94</v>
      </c>
      <c r="U737" s="5"/>
      <c r="V737" s="5"/>
      <c r="W737" s="5" t="s">
        <v>46</v>
      </c>
      <c r="X737" s="5"/>
      <c r="Y737" s="5"/>
      <c r="Z737" s="5" t="str">
        <f>HYPERLINK("https://knigipp.ru/api/getInfo/image/fdb4f8e3-7330-11ee-a248-00155d82e902")</f>
        <v>https://knigipp.ru/api/getInfo/image/fdb4f8e3-7330-11ee-a248-00155d82e902</v>
      </c>
      <c r="AA737" s="33">
        <v>288</v>
      </c>
      <c r="AB737" s="5" t="s">
        <v>2259</v>
      </c>
      <c r="AC737" s="5" t="s">
        <v>86</v>
      </c>
      <c r="AD737" s="5"/>
      <c r="AE737" s="5" t="s">
        <v>49</v>
      </c>
      <c r="AF737" s="5"/>
      <c r="AG737" s="5"/>
      <c r="AH737" s="5" t="s">
        <v>3088</v>
      </c>
    </row>
    <row r="738" spans="2:34" ht="21" customHeight="1" outlineLevel="4" x14ac:dyDescent="0.2">
      <c r="B738" s="4">
        <v>543</v>
      </c>
      <c r="C738" s="5" t="s">
        <v>3089</v>
      </c>
      <c r="D738" s="5" t="s">
        <v>3090</v>
      </c>
      <c r="E738" s="6" t="s">
        <v>3091</v>
      </c>
      <c r="F738" s="10"/>
      <c r="G738" s="11" t="s">
        <v>3086</v>
      </c>
      <c r="H738" s="12">
        <v>20</v>
      </c>
      <c r="I738" s="13" t="s">
        <v>41</v>
      </c>
      <c r="J738" s="13"/>
      <c r="K738" s="13"/>
      <c r="L738" s="4">
        <v>2</v>
      </c>
      <c r="M738" s="14">
        <f>327*(1-P3/100)</f>
        <v>327</v>
      </c>
      <c r="N738" s="15"/>
      <c r="O738" s="13">
        <f>M738*N738</f>
        <v>0</v>
      </c>
      <c r="P738" s="22">
        <f>0.348*N738</f>
        <v>0</v>
      </c>
      <c r="Q738" s="23">
        <f>0.00065*N738</f>
        <v>0</v>
      </c>
      <c r="R738" s="24"/>
      <c r="S738" s="25" t="s">
        <v>3092</v>
      </c>
      <c r="T738" s="25" t="s">
        <v>94</v>
      </c>
      <c r="U738" s="5"/>
      <c r="V738" s="5" t="s">
        <v>3093</v>
      </c>
      <c r="W738" s="5" t="s">
        <v>46</v>
      </c>
      <c r="X738" s="5" t="s">
        <v>992</v>
      </c>
      <c r="Y738" s="5"/>
      <c r="Z738" s="5" t="str">
        <f>HYPERLINK("https://knigipp.ru/api/getInfo/image/1752851a-1f57-11ef-a25f-00155d82e908")</f>
        <v>https://knigipp.ru/api/getInfo/image/1752851a-1f57-11ef-a25f-00155d82e908</v>
      </c>
      <c r="AA738" s="33">
        <v>288</v>
      </c>
      <c r="AB738" s="5" t="s">
        <v>2259</v>
      </c>
      <c r="AC738" s="5" t="s">
        <v>86</v>
      </c>
      <c r="AD738" s="5"/>
      <c r="AE738" s="5" t="s">
        <v>49</v>
      </c>
      <c r="AF738" s="5"/>
      <c r="AG738" s="5"/>
      <c r="AH738" s="5" t="s">
        <v>3088</v>
      </c>
    </row>
    <row r="739" spans="2:34" ht="21" customHeight="1" outlineLevel="4" x14ac:dyDescent="0.2">
      <c r="B739" s="4">
        <v>544</v>
      </c>
      <c r="C739" s="5" t="s">
        <v>3094</v>
      </c>
      <c r="D739" s="5" t="s">
        <v>3095</v>
      </c>
      <c r="E739" s="6" t="s">
        <v>3096</v>
      </c>
      <c r="F739" s="10"/>
      <c r="G739" s="11" t="s">
        <v>3086</v>
      </c>
      <c r="H739" s="12">
        <v>20</v>
      </c>
      <c r="I739" s="13" t="s">
        <v>41</v>
      </c>
      <c r="J739" s="13"/>
      <c r="K739" s="13"/>
      <c r="L739" s="4">
        <v>2</v>
      </c>
      <c r="M739" s="14">
        <f>327*(1-P3/100)</f>
        <v>327</v>
      </c>
      <c r="N739" s="15"/>
      <c r="O739" s="13">
        <f>M739*N739</f>
        <v>0</v>
      </c>
      <c r="P739" s="22">
        <f>0.348*N739</f>
        <v>0</v>
      </c>
      <c r="Q739" s="23">
        <f>0.00063*N739</f>
        <v>0</v>
      </c>
      <c r="R739" s="24"/>
      <c r="S739" s="25" t="s">
        <v>3097</v>
      </c>
      <c r="T739" s="25" t="s">
        <v>94</v>
      </c>
      <c r="U739" s="5"/>
      <c r="V739" s="5"/>
      <c r="W739" s="5" t="s">
        <v>46</v>
      </c>
      <c r="X739" s="5"/>
      <c r="Y739" s="5"/>
      <c r="Z739" s="5" t="str">
        <f>HYPERLINK("https://knigipp.ru/api/getInfo/image/30912da5-7331-11ee-a248-00155d82e902")</f>
        <v>https://knigipp.ru/api/getInfo/image/30912da5-7331-11ee-a248-00155d82e902</v>
      </c>
      <c r="AA739" s="33">
        <v>288</v>
      </c>
      <c r="AB739" s="5" t="s">
        <v>2259</v>
      </c>
      <c r="AC739" s="5" t="s">
        <v>86</v>
      </c>
      <c r="AD739" s="5"/>
      <c r="AE739" s="5" t="s">
        <v>49</v>
      </c>
      <c r="AF739" s="5"/>
      <c r="AG739" s="5"/>
      <c r="AH739" s="5" t="s">
        <v>3088</v>
      </c>
    </row>
    <row r="740" spans="2:34" ht="21" customHeight="1" outlineLevel="4" x14ac:dyDescent="0.2">
      <c r="B740" s="4">
        <v>545</v>
      </c>
      <c r="C740" s="5" t="s">
        <v>3098</v>
      </c>
      <c r="D740" s="5" t="s">
        <v>3099</v>
      </c>
      <c r="E740" s="6" t="s">
        <v>3100</v>
      </c>
      <c r="F740" s="10"/>
      <c r="G740" s="11" t="s">
        <v>3086</v>
      </c>
      <c r="H740" s="12">
        <v>20</v>
      </c>
      <c r="I740" s="13" t="s">
        <v>41</v>
      </c>
      <c r="J740" s="13"/>
      <c r="K740" s="13"/>
      <c r="L740" s="4">
        <v>2</v>
      </c>
      <c r="M740" s="14">
        <f>327*(1-P3/100)</f>
        <v>327</v>
      </c>
      <c r="N740" s="15"/>
      <c r="O740" s="13">
        <f>M740*N740</f>
        <v>0</v>
      </c>
      <c r="P740" s="22">
        <f>0.355*N740</f>
        <v>0</v>
      </c>
      <c r="Q740" s="23">
        <f>0.00063*N740</f>
        <v>0</v>
      </c>
      <c r="R740" s="24"/>
      <c r="S740" s="25" t="s">
        <v>3101</v>
      </c>
      <c r="T740" s="25" t="s">
        <v>94</v>
      </c>
      <c r="U740" s="5"/>
      <c r="V740" s="5" t="s">
        <v>3102</v>
      </c>
      <c r="W740" s="5" t="s">
        <v>46</v>
      </c>
      <c r="X740" s="5" t="s">
        <v>992</v>
      </c>
      <c r="Y740" s="5"/>
      <c r="Z740" s="5" t="str">
        <f>HYPERLINK("https://knigipp.ru/api/getInfo/image/3fa87e2d-1f57-11ef-a25f-00155d82e908")</f>
        <v>https://knigipp.ru/api/getInfo/image/3fa87e2d-1f57-11ef-a25f-00155d82e908</v>
      </c>
      <c r="AA740" s="33">
        <v>288</v>
      </c>
      <c r="AB740" s="5" t="s">
        <v>2259</v>
      </c>
      <c r="AC740" s="5" t="s">
        <v>86</v>
      </c>
      <c r="AD740" s="5"/>
      <c r="AE740" s="5" t="s">
        <v>49</v>
      </c>
      <c r="AF740" s="5"/>
      <c r="AG740" s="5"/>
      <c r="AH740" s="5" t="s">
        <v>3088</v>
      </c>
    </row>
    <row r="741" spans="2:34" ht="22.95" customHeight="1" outlineLevel="3" x14ac:dyDescent="0.2">
      <c r="B741" s="74" t="s">
        <v>3103</v>
      </c>
      <c r="C741" s="74"/>
      <c r="D741" s="74"/>
    </row>
    <row r="742" spans="2:34" ht="21" customHeight="1" outlineLevel="4" x14ac:dyDescent="0.2">
      <c r="B742" s="4">
        <v>546</v>
      </c>
      <c r="C742" s="5" t="s">
        <v>3104</v>
      </c>
      <c r="D742" s="5" t="s">
        <v>3105</v>
      </c>
      <c r="E742" s="6" t="s">
        <v>3106</v>
      </c>
      <c r="F742" s="10"/>
      <c r="G742" s="11" t="s">
        <v>3107</v>
      </c>
      <c r="H742" s="12">
        <v>30</v>
      </c>
      <c r="I742" s="13" t="s">
        <v>41</v>
      </c>
      <c r="J742" s="13"/>
      <c r="K742" s="13"/>
      <c r="L742" s="4">
        <v>4</v>
      </c>
      <c r="M742" s="14">
        <f>157*(1-P3/100)</f>
        <v>157</v>
      </c>
      <c r="N742" s="15"/>
      <c r="O742" s="13">
        <f>M742*N742</f>
        <v>0</v>
      </c>
      <c r="P742" s="22">
        <f>0.083*N742</f>
        <v>0</v>
      </c>
      <c r="Q742" s="23">
        <f>0.00035*N742</f>
        <v>0</v>
      </c>
      <c r="R742" s="24"/>
      <c r="S742" s="25" t="s">
        <v>3108</v>
      </c>
      <c r="T742" s="25" t="s">
        <v>94</v>
      </c>
      <c r="U742" s="5"/>
      <c r="V742" s="5" t="s">
        <v>3109</v>
      </c>
      <c r="W742" s="5" t="s">
        <v>46</v>
      </c>
      <c r="X742" s="5"/>
      <c r="Y742" s="5"/>
      <c r="Z742" s="5" t="str">
        <f>HYPERLINK("https://knigipp.ru/api/getInfo/image/d10827f5-563a-11f0-a27f-00155d82e908")</f>
        <v>https://knigipp.ru/api/getInfo/image/d10827f5-563a-11f0-a27f-00155d82e908</v>
      </c>
      <c r="AA742" s="33">
        <v>64</v>
      </c>
      <c r="AB742" s="5" t="s">
        <v>47</v>
      </c>
      <c r="AC742" s="5" t="s">
        <v>96</v>
      </c>
      <c r="AD742" s="5"/>
      <c r="AE742" s="5" t="s">
        <v>49</v>
      </c>
      <c r="AF742" s="5"/>
      <c r="AG742" s="5"/>
      <c r="AH742" s="5" t="s">
        <v>2814</v>
      </c>
    </row>
    <row r="743" spans="2:34" ht="21" customHeight="1" outlineLevel="4" x14ac:dyDescent="0.2">
      <c r="B743" s="4">
        <v>547</v>
      </c>
      <c r="C743" s="5" t="s">
        <v>3110</v>
      </c>
      <c r="D743" s="5" t="s">
        <v>3111</v>
      </c>
      <c r="E743" s="6" t="s">
        <v>3112</v>
      </c>
      <c r="F743" s="10"/>
      <c r="G743" s="11" t="s">
        <v>3107</v>
      </c>
      <c r="H743" s="12">
        <v>30</v>
      </c>
      <c r="I743" s="13" t="s">
        <v>41</v>
      </c>
      <c r="J743" s="13"/>
      <c r="K743" s="13"/>
      <c r="L743" s="4">
        <v>4</v>
      </c>
      <c r="M743" s="14">
        <f>157*(1-P3/100)</f>
        <v>157</v>
      </c>
      <c r="N743" s="15"/>
      <c r="O743" s="13">
        <f>M743*N743</f>
        <v>0</v>
      </c>
      <c r="P743" s="22">
        <f>0.082*N743</f>
        <v>0</v>
      </c>
      <c r="Q743" s="23">
        <f>0.00018*N743</f>
        <v>0</v>
      </c>
      <c r="R743" s="24"/>
      <c r="S743" s="25" t="s">
        <v>3113</v>
      </c>
      <c r="T743" s="25" t="s">
        <v>94</v>
      </c>
      <c r="U743" s="5"/>
      <c r="V743" s="5" t="s">
        <v>3114</v>
      </c>
      <c r="W743" s="5" t="s">
        <v>46</v>
      </c>
      <c r="X743" s="5"/>
      <c r="Y743" s="5"/>
      <c r="Z743" s="5" t="str">
        <f>HYPERLINK("https://knigipp.ru/api/getInfo/image/0281a3c2-563b-11f0-a27f-00155d82e908")</f>
        <v>https://knigipp.ru/api/getInfo/image/0281a3c2-563b-11f0-a27f-00155d82e908</v>
      </c>
      <c r="AA743" s="33">
        <v>64</v>
      </c>
      <c r="AB743" s="5" t="s">
        <v>47</v>
      </c>
      <c r="AC743" s="5" t="s">
        <v>96</v>
      </c>
      <c r="AD743" s="5"/>
      <c r="AE743" s="5" t="s">
        <v>49</v>
      </c>
      <c r="AF743" s="5"/>
      <c r="AG743" s="5"/>
      <c r="AH743" s="5" t="s">
        <v>2814</v>
      </c>
    </row>
    <row r="744" spans="2:34" ht="21" customHeight="1" outlineLevel="4" x14ac:dyDescent="0.2">
      <c r="B744" s="4">
        <v>548</v>
      </c>
      <c r="C744" s="5" t="s">
        <v>3115</v>
      </c>
      <c r="D744" s="5" t="s">
        <v>3116</v>
      </c>
      <c r="E744" s="6" t="s">
        <v>3117</v>
      </c>
      <c r="F744" s="10"/>
      <c r="G744" s="11" t="s">
        <v>3107</v>
      </c>
      <c r="H744" s="12">
        <v>30</v>
      </c>
      <c r="I744" s="13" t="s">
        <v>41</v>
      </c>
      <c r="J744" s="13"/>
      <c r="K744" s="13"/>
      <c r="L744" s="4">
        <v>4</v>
      </c>
      <c r="M744" s="14">
        <f>157*(1-P3/100)</f>
        <v>157</v>
      </c>
      <c r="N744" s="15"/>
      <c r="O744" s="13">
        <f>M744*N744</f>
        <v>0</v>
      </c>
      <c r="P744" s="32">
        <f>0.08*N744</f>
        <v>0</v>
      </c>
      <c r="Q744" s="23">
        <f>0.00017*N744</f>
        <v>0</v>
      </c>
      <c r="R744" s="24"/>
      <c r="S744" s="25" t="s">
        <v>3118</v>
      </c>
      <c r="T744" s="25" t="s">
        <v>94</v>
      </c>
      <c r="U744" s="5"/>
      <c r="V744" s="5" t="s">
        <v>3119</v>
      </c>
      <c r="W744" s="5" t="s">
        <v>46</v>
      </c>
      <c r="X744" s="5"/>
      <c r="Y744" s="5"/>
      <c r="Z744" s="5" t="str">
        <f>HYPERLINK("https://knigipp.ru/api/getInfo/image/7b5a2ffc-25c9-11f0-a279-00155d82e908")</f>
        <v>https://knigipp.ru/api/getInfo/image/7b5a2ffc-25c9-11f0-a279-00155d82e908</v>
      </c>
      <c r="AA744" s="33">
        <v>64</v>
      </c>
      <c r="AB744" s="5" t="s">
        <v>47</v>
      </c>
      <c r="AC744" s="5" t="s">
        <v>96</v>
      </c>
      <c r="AD744" s="5"/>
      <c r="AE744" s="5" t="s">
        <v>49</v>
      </c>
      <c r="AF744" s="5"/>
      <c r="AG744" s="5"/>
      <c r="AH744" s="5" t="s">
        <v>740</v>
      </c>
    </row>
    <row r="745" spans="2:34" ht="21" customHeight="1" outlineLevel="4" x14ac:dyDescent="0.2">
      <c r="B745" s="4">
        <v>549</v>
      </c>
      <c r="C745" s="5" t="s">
        <v>3120</v>
      </c>
      <c r="D745" s="5" t="s">
        <v>3121</v>
      </c>
      <c r="E745" s="6" t="s">
        <v>3122</v>
      </c>
      <c r="F745" s="10"/>
      <c r="G745" s="11" t="s">
        <v>3107</v>
      </c>
      <c r="H745" s="12">
        <v>30</v>
      </c>
      <c r="I745" s="13" t="s">
        <v>41</v>
      </c>
      <c r="J745" s="13"/>
      <c r="K745" s="13"/>
      <c r="L745" s="4">
        <v>4</v>
      </c>
      <c r="M745" s="14">
        <f>157*(1-P3/100)</f>
        <v>157</v>
      </c>
      <c r="N745" s="15"/>
      <c r="O745" s="13">
        <f>M745*N745</f>
        <v>0</v>
      </c>
      <c r="P745" s="22">
        <f>0.079*N745</f>
        <v>0</v>
      </c>
      <c r="Q745" s="23">
        <f>0.00029*N745</f>
        <v>0</v>
      </c>
      <c r="R745" s="24"/>
      <c r="S745" s="25" t="s">
        <v>3123</v>
      </c>
      <c r="T745" s="25" t="s">
        <v>94</v>
      </c>
      <c r="U745" s="5"/>
      <c r="V745" s="5" t="s">
        <v>3124</v>
      </c>
      <c r="W745" s="5" t="s">
        <v>46</v>
      </c>
      <c r="X745" s="5"/>
      <c r="Y745" s="5"/>
      <c r="Z745" s="5" t="str">
        <f>HYPERLINK("https://knigipp.ru/api/getInfo/image/9dbfa250-25c9-11f0-a279-00155d82e908")</f>
        <v>https://knigipp.ru/api/getInfo/image/9dbfa250-25c9-11f0-a279-00155d82e908</v>
      </c>
      <c r="AA745" s="33">
        <v>64</v>
      </c>
      <c r="AB745" s="5" t="s">
        <v>47</v>
      </c>
      <c r="AC745" s="5" t="s">
        <v>96</v>
      </c>
      <c r="AD745" s="5"/>
      <c r="AE745" s="5" t="s">
        <v>49</v>
      </c>
      <c r="AF745" s="5"/>
      <c r="AG745" s="5"/>
      <c r="AH745" s="5" t="s">
        <v>740</v>
      </c>
    </row>
    <row r="746" spans="2:34" ht="22.95" customHeight="1" outlineLevel="3" x14ac:dyDescent="0.2">
      <c r="B746" s="74" t="s">
        <v>3125</v>
      </c>
      <c r="C746" s="74"/>
      <c r="D746" s="74"/>
    </row>
    <row r="747" spans="2:34" ht="21" customHeight="1" outlineLevel="4" x14ac:dyDescent="0.2">
      <c r="B747" s="4">
        <v>550</v>
      </c>
      <c r="C747" s="5" t="s">
        <v>3126</v>
      </c>
      <c r="D747" s="5" t="s">
        <v>3127</v>
      </c>
      <c r="E747" s="6" t="s">
        <v>3128</v>
      </c>
      <c r="F747" s="10"/>
      <c r="G747" s="11" t="s">
        <v>3129</v>
      </c>
      <c r="H747" s="12">
        <v>20</v>
      </c>
      <c r="I747" s="13" t="s">
        <v>41</v>
      </c>
      <c r="J747" s="13"/>
      <c r="K747" s="13"/>
      <c r="L747" s="4">
        <v>10</v>
      </c>
      <c r="M747" s="14">
        <f>76*(1-P3/100)</f>
        <v>76</v>
      </c>
      <c r="N747" s="15"/>
      <c r="O747" s="13">
        <f t="shared" ref="O747:O753" si="21">M747*N747</f>
        <v>0</v>
      </c>
      <c r="P747" s="22">
        <f>0.082*N747</f>
        <v>0</v>
      </c>
      <c r="Q747" s="23">
        <f>0.00018*N747</f>
        <v>0</v>
      </c>
      <c r="R747" s="24"/>
      <c r="S747" s="25" t="s">
        <v>3130</v>
      </c>
      <c r="T747" s="25" t="s">
        <v>94</v>
      </c>
      <c r="U747" s="5"/>
      <c r="V747" s="5"/>
      <c r="W747" s="5" t="s">
        <v>46</v>
      </c>
      <c r="X747" s="5"/>
      <c r="Y747" s="5"/>
      <c r="Z747" s="5" t="str">
        <f>HYPERLINK("https://knigipp.ru/api/getInfo/image/0729d16f-6121-11ee-a245-00155d82e902")</f>
        <v>https://knigipp.ru/api/getInfo/image/0729d16f-6121-11ee-a245-00155d82e902</v>
      </c>
      <c r="AA747" s="33">
        <v>32</v>
      </c>
      <c r="AB747" s="5" t="s">
        <v>47</v>
      </c>
      <c r="AC747" s="5" t="s">
        <v>96</v>
      </c>
      <c r="AD747" s="5"/>
      <c r="AE747" s="5" t="s">
        <v>49</v>
      </c>
      <c r="AF747" s="5"/>
      <c r="AG747" s="5"/>
      <c r="AH747" s="5" t="s">
        <v>3131</v>
      </c>
    </row>
    <row r="748" spans="2:34" ht="21" customHeight="1" outlineLevel="4" x14ac:dyDescent="0.2">
      <c r="B748" s="4">
        <v>551</v>
      </c>
      <c r="C748" s="5" t="s">
        <v>3132</v>
      </c>
      <c r="D748" s="5" t="s">
        <v>3133</v>
      </c>
      <c r="E748" s="6" t="s">
        <v>3134</v>
      </c>
      <c r="F748" s="10"/>
      <c r="G748" s="11" t="s">
        <v>3129</v>
      </c>
      <c r="H748" s="12">
        <v>20</v>
      </c>
      <c r="I748" s="13" t="s">
        <v>41</v>
      </c>
      <c r="J748" s="13"/>
      <c r="K748" s="13"/>
      <c r="L748" s="4">
        <v>10</v>
      </c>
      <c r="M748" s="14">
        <f>69*(1-P3/100)</f>
        <v>69</v>
      </c>
      <c r="N748" s="15"/>
      <c r="O748" s="13">
        <f t="shared" si="21"/>
        <v>0</v>
      </c>
      <c r="P748" s="22">
        <f>0.076*N748</f>
        <v>0</v>
      </c>
      <c r="Q748" s="30">
        <f>0.0003*N748</f>
        <v>0</v>
      </c>
      <c r="R748" s="24"/>
      <c r="S748" s="25" t="s">
        <v>3135</v>
      </c>
      <c r="T748" s="25" t="s">
        <v>94</v>
      </c>
      <c r="U748" s="5"/>
      <c r="V748" s="5" t="s">
        <v>3136</v>
      </c>
      <c r="W748" s="5" t="s">
        <v>46</v>
      </c>
      <c r="X748" s="5" t="s">
        <v>992</v>
      </c>
      <c r="Y748" s="5"/>
      <c r="Z748" s="5" t="str">
        <f>HYPERLINK("https://knigipp.ru/api/getInfo/image/b54c51cd-354b-11ef-a261-00155d82e908")</f>
        <v>https://knigipp.ru/api/getInfo/image/b54c51cd-354b-11ef-a261-00155d82e908</v>
      </c>
      <c r="AA748" s="33">
        <v>32</v>
      </c>
      <c r="AB748" s="5" t="s">
        <v>47</v>
      </c>
      <c r="AC748" s="5" t="s">
        <v>96</v>
      </c>
      <c r="AD748" s="5"/>
      <c r="AE748" s="5" t="s">
        <v>49</v>
      </c>
      <c r="AF748" s="5"/>
      <c r="AG748" s="5"/>
      <c r="AH748" s="5" t="s">
        <v>3131</v>
      </c>
    </row>
    <row r="749" spans="2:34" ht="21" customHeight="1" outlineLevel="4" x14ac:dyDescent="0.2">
      <c r="B749" s="4">
        <v>552</v>
      </c>
      <c r="C749" s="5" t="s">
        <v>3137</v>
      </c>
      <c r="D749" s="5" t="s">
        <v>3138</v>
      </c>
      <c r="E749" s="6" t="s">
        <v>3139</v>
      </c>
      <c r="F749" s="10"/>
      <c r="G749" s="11" t="s">
        <v>3129</v>
      </c>
      <c r="H749" s="12">
        <v>20</v>
      </c>
      <c r="I749" s="13" t="s">
        <v>41</v>
      </c>
      <c r="J749" s="13"/>
      <c r="K749" s="13"/>
      <c r="L749" s="4">
        <v>10</v>
      </c>
      <c r="M749" s="14">
        <f>69*(1-P3/100)</f>
        <v>69</v>
      </c>
      <c r="N749" s="15"/>
      <c r="O749" s="13">
        <f t="shared" si="21"/>
        <v>0</v>
      </c>
      <c r="P749" s="22">
        <f>0.076*N749</f>
        <v>0</v>
      </c>
      <c r="Q749" s="30">
        <f>0.0003*N749</f>
        <v>0</v>
      </c>
      <c r="R749" s="24"/>
      <c r="S749" s="25" t="s">
        <v>3140</v>
      </c>
      <c r="T749" s="25" t="s">
        <v>94</v>
      </c>
      <c r="U749" s="5"/>
      <c r="V749" s="5" t="s">
        <v>3141</v>
      </c>
      <c r="W749" s="5" t="s">
        <v>46</v>
      </c>
      <c r="X749" s="5" t="s">
        <v>992</v>
      </c>
      <c r="Y749" s="5"/>
      <c r="Z749" s="5" t="str">
        <f>HYPERLINK("https://knigipp.ru/api/getInfo/image/58362652-354b-11ef-a261-00155d82e908")</f>
        <v>https://knigipp.ru/api/getInfo/image/58362652-354b-11ef-a261-00155d82e908</v>
      </c>
      <c r="AA749" s="33">
        <v>32</v>
      </c>
      <c r="AB749" s="5" t="s">
        <v>47</v>
      </c>
      <c r="AC749" s="5" t="s">
        <v>96</v>
      </c>
      <c r="AD749" s="5"/>
      <c r="AE749" s="5" t="s">
        <v>49</v>
      </c>
      <c r="AF749" s="5"/>
      <c r="AG749" s="5"/>
      <c r="AH749" s="5" t="s">
        <v>3131</v>
      </c>
    </row>
    <row r="750" spans="2:34" ht="21" customHeight="1" outlineLevel="4" x14ac:dyDescent="0.2">
      <c r="B750" s="4">
        <v>553</v>
      </c>
      <c r="C750" s="5" t="s">
        <v>3142</v>
      </c>
      <c r="D750" s="5" t="s">
        <v>3143</v>
      </c>
      <c r="E750" s="6" t="s">
        <v>3144</v>
      </c>
      <c r="F750" s="10"/>
      <c r="G750" s="11" t="s">
        <v>3129</v>
      </c>
      <c r="H750" s="12">
        <v>20</v>
      </c>
      <c r="I750" s="13" t="s">
        <v>41</v>
      </c>
      <c r="J750" s="13"/>
      <c r="K750" s="13"/>
      <c r="L750" s="4">
        <v>10</v>
      </c>
      <c r="M750" s="14">
        <f>76*(1-P3/100)</f>
        <v>76</v>
      </c>
      <c r="N750" s="15"/>
      <c r="O750" s="13">
        <f t="shared" si="21"/>
        <v>0</v>
      </c>
      <c r="P750" s="22">
        <f>0.076*N750</f>
        <v>0</v>
      </c>
      <c r="Q750" s="30">
        <f>0.0003*N750</f>
        <v>0</v>
      </c>
      <c r="R750" s="24"/>
      <c r="S750" s="25" t="s">
        <v>3145</v>
      </c>
      <c r="T750" s="25" t="s">
        <v>94</v>
      </c>
      <c r="U750" s="5"/>
      <c r="V750" s="5"/>
      <c r="W750" s="5" t="s">
        <v>46</v>
      </c>
      <c r="X750" s="5"/>
      <c r="Y750" s="5"/>
      <c r="Z750" s="5" t="str">
        <f>HYPERLINK("https://knigipp.ru/api/getInfo/image/c0ddc1b7-6120-11ee-a245-00155d82e902")</f>
        <v>https://knigipp.ru/api/getInfo/image/c0ddc1b7-6120-11ee-a245-00155d82e902</v>
      </c>
      <c r="AA750" s="33">
        <v>32</v>
      </c>
      <c r="AB750" s="5" t="s">
        <v>47</v>
      </c>
      <c r="AC750" s="5" t="s">
        <v>96</v>
      </c>
      <c r="AD750" s="5"/>
      <c r="AE750" s="5" t="s">
        <v>49</v>
      </c>
      <c r="AF750" s="5"/>
      <c r="AG750" s="5"/>
      <c r="AH750" s="5" t="s">
        <v>3131</v>
      </c>
    </row>
    <row r="751" spans="2:34" ht="21" customHeight="1" outlineLevel="4" x14ac:dyDescent="0.2">
      <c r="B751" s="4">
        <v>554</v>
      </c>
      <c r="C751" s="5" t="s">
        <v>3146</v>
      </c>
      <c r="D751" s="5" t="s">
        <v>3147</v>
      </c>
      <c r="E751" s="6" t="s">
        <v>3148</v>
      </c>
      <c r="F751" s="10"/>
      <c r="G751" s="11" t="s">
        <v>3129</v>
      </c>
      <c r="H751" s="12">
        <v>20</v>
      </c>
      <c r="I751" s="13" t="s">
        <v>41</v>
      </c>
      <c r="J751" s="13"/>
      <c r="K751" s="13"/>
      <c r="L751" s="4">
        <v>10</v>
      </c>
      <c r="M751" s="14">
        <f>76*(1-P3/100)</f>
        <v>76</v>
      </c>
      <c r="N751" s="15"/>
      <c r="O751" s="13">
        <f t="shared" si="21"/>
        <v>0</v>
      </c>
      <c r="P751" s="32">
        <f>0.06*N751</f>
        <v>0</v>
      </c>
      <c r="Q751" s="23">
        <f>0.00017*N751</f>
        <v>0</v>
      </c>
      <c r="R751" s="24"/>
      <c r="S751" s="25" t="s">
        <v>3149</v>
      </c>
      <c r="T751" s="25" t="s">
        <v>94</v>
      </c>
      <c r="U751" s="5"/>
      <c r="V751" s="5"/>
      <c r="W751" s="5" t="s">
        <v>46</v>
      </c>
      <c r="X751" s="5"/>
      <c r="Y751" s="5"/>
      <c r="Z751" s="5" t="str">
        <f>HYPERLINK("https://knigipp.ru/api/getInfo/image/947db392-6120-11ee-a245-00155d82e902")</f>
        <v>https://knigipp.ru/api/getInfo/image/947db392-6120-11ee-a245-00155d82e902</v>
      </c>
      <c r="AA751" s="33">
        <v>32</v>
      </c>
      <c r="AB751" s="5" t="s">
        <v>47</v>
      </c>
      <c r="AC751" s="5" t="s">
        <v>96</v>
      </c>
      <c r="AD751" s="5"/>
      <c r="AE751" s="5" t="s">
        <v>49</v>
      </c>
      <c r="AF751" s="5"/>
      <c r="AG751" s="5"/>
      <c r="AH751" s="5" t="s">
        <v>3131</v>
      </c>
    </row>
    <row r="752" spans="2:34" ht="21" customHeight="1" outlineLevel="4" x14ac:dyDescent="0.2">
      <c r="B752" s="4">
        <v>555</v>
      </c>
      <c r="C752" s="5" t="s">
        <v>3150</v>
      </c>
      <c r="D752" s="5" t="s">
        <v>3151</v>
      </c>
      <c r="E752" s="6" t="s">
        <v>3152</v>
      </c>
      <c r="F752" s="10"/>
      <c r="G752" s="11" t="s">
        <v>3129</v>
      </c>
      <c r="H752" s="12">
        <v>20</v>
      </c>
      <c r="I752" s="13" t="s">
        <v>41</v>
      </c>
      <c r="J752" s="13"/>
      <c r="K752" s="13"/>
      <c r="L752" s="4">
        <v>10</v>
      </c>
      <c r="M752" s="14">
        <f>76*(1-P3/100)</f>
        <v>76</v>
      </c>
      <c r="N752" s="15"/>
      <c r="O752" s="13">
        <f t="shared" si="21"/>
        <v>0</v>
      </c>
      <c r="P752" s="22">
        <f>0.082*N752</f>
        <v>0</v>
      </c>
      <c r="Q752" s="23">
        <f>0.00018*N752</f>
        <v>0</v>
      </c>
      <c r="R752" s="24"/>
      <c r="S752" s="25" t="s">
        <v>3153</v>
      </c>
      <c r="T752" s="25" t="s">
        <v>94</v>
      </c>
      <c r="U752" s="5"/>
      <c r="V752" s="5"/>
      <c r="W752" s="5" t="s">
        <v>46</v>
      </c>
      <c r="X752" s="5"/>
      <c r="Y752" s="5"/>
      <c r="Z752" s="5" t="str">
        <f>HYPERLINK("https://knigipp.ru/api/getInfo/image/e48baf6b-6120-11ee-a245-00155d82e902")</f>
        <v>https://knigipp.ru/api/getInfo/image/e48baf6b-6120-11ee-a245-00155d82e902</v>
      </c>
      <c r="AA752" s="33">
        <v>32</v>
      </c>
      <c r="AB752" s="5" t="s">
        <v>47</v>
      </c>
      <c r="AC752" s="5" t="s">
        <v>96</v>
      </c>
      <c r="AD752" s="5"/>
      <c r="AE752" s="5" t="s">
        <v>49</v>
      </c>
      <c r="AF752" s="5"/>
      <c r="AG752" s="5"/>
      <c r="AH752" s="5" t="s">
        <v>3131</v>
      </c>
    </row>
    <row r="753" spans="2:34" ht="21" customHeight="1" outlineLevel="4" x14ac:dyDescent="0.2">
      <c r="B753" s="4">
        <v>556</v>
      </c>
      <c r="C753" s="5" t="s">
        <v>3154</v>
      </c>
      <c r="D753" s="5" t="s">
        <v>3155</v>
      </c>
      <c r="E753" s="6" t="s">
        <v>3156</v>
      </c>
      <c r="F753" s="10"/>
      <c r="G753" s="11" t="s">
        <v>3129</v>
      </c>
      <c r="H753" s="12">
        <v>20</v>
      </c>
      <c r="I753" s="13" t="s">
        <v>41</v>
      </c>
      <c r="J753" s="13"/>
      <c r="K753" s="13"/>
      <c r="L753" s="4">
        <v>10</v>
      </c>
      <c r="M753" s="14">
        <f>69*(1-P3/100)</f>
        <v>69</v>
      </c>
      <c r="N753" s="15"/>
      <c r="O753" s="13">
        <f t="shared" si="21"/>
        <v>0</v>
      </c>
      <c r="P753" s="22">
        <f>0.076*N753</f>
        <v>0</v>
      </c>
      <c r="Q753" s="30">
        <f>0.0003*N753</f>
        <v>0</v>
      </c>
      <c r="R753" s="24"/>
      <c r="S753" s="25" t="s">
        <v>3157</v>
      </c>
      <c r="T753" s="25" t="s">
        <v>94</v>
      </c>
      <c r="U753" s="5"/>
      <c r="V753" s="5" t="s">
        <v>3158</v>
      </c>
      <c r="W753" s="5" t="s">
        <v>46</v>
      </c>
      <c r="X753" s="5" t="s">
        <v>992</v>
      </c>
      <c r="Y753" s="5"/>
      <c r="Z753" s="5" t="str">
        <f>HYPERLINK("https://knigipp.ru/api/getInfo/image/11a4f0e7-354b-11ef-a261-00155d82e908")</f>
        <v>https://knigipp.ru/api/getInfo/image/11a4f0e7-354b-11ef-a261-00155d82e908</v>
      </c>
      <c r="AA753" s="33">
        <v>32</v>
      </c>
      <c r="AB753" s="5" t="s">
        <v>47</v>
      </c>
      <c r="AC753" s="5" t="s">
        <v>96</v>
      </c>
      <c r="AD753" s="5"/>
      <c r="AE753" s="5" t="s">
        <v>49</v>
      </c>
      <c r="AF753" s="5"/>
      <c r="AG753" s="5"/>
      <c r="AH753" s="5" t="s">
        <v>3131</v>
      </c>
    </row>
    <row r="754" spans="2:34" ht="22.95" customHeight="1" outlineLevel="3" x14ac:dyDescent="0.2">
      <c r="B754" s="74" t="s">
        <v>3159</v>
      </c>
      <c r="C754" s="74"/>
      <c r="D754" s="74"/>
    </row>
    <row r="755" spans="2:34" ht="21" customHeight="1" outlineLevel="4" x14ac:dyDescent="0.2">
      <c r="B755" s="4">
        <v>557</v>
      </c>
      <c r="C755" s="5" t="s">
        <v>3160</v>
      </c>
      <c r="D755" s="5" t="s">
        <v>3161</v>
      </c>
      <c r="E755" s="6" t="s">
        <v>3162</v>
      </c>
      <c r="F755" s="10"/>
      <c r="G755" s="11" t="s">
        <v>3163</v>
      </c>
      <c r="H755" s="12">
        <v>20</v>
      </c>
      <c r="I755" s="13" t="s">
        <v>41</v>
      </c>
      <c r="J755" s="13"/>
      <c r="K755" s="13"/>
      <c r="L755" s="4">
        <v>2</v>
      </c>
      <c r="M755" s="14">
        <f>318*(1-P3/100)</f>
        <v>318</v>
      </c>
      <c r="N755" s="15"/>
      <c r="O755" s="13">
        <f t="shared" ref="O755:O767" si="22">M755*N755</f>
        <v>0</v>
      </c>
      <c r="P755" s="22">
        <f>0.351*N755</f>
        <v>0</v>
      </c>
      <c r="Q755" s="23">
        <f>0.00072*N755</f>
        <v>0</v>
      </c>
      <c r="R755" s="24"/>
      <c r="S755" s="25" t="s">
        <v>3164</v>
      </c>
      <c r="T755" s="25" t="s">
        <v>94</v>
      </c>
      <c r="U755" s="5"/>
      <c r="V755" s="5" t="s">
        <v>3165</v>
      </c>
      <c r="W755" s="5" t="s">
        <v>46</v>
      </c>
      <c r="X755" s="5"/>
      <c r="Y755" s="5"/>
      <c r="Z755" s="5" t="str">
        <f>HYPERLINK("https://knigipp.ru/api/getInfo/image/9b4ba135-2a47-11ef-a261-00155d82e908")</f>
        <v>https://knigipp.ru/api/getInfo/image/9b4ba135-2a47-11ef-a261-00155d82e908</v>
      </c>
      <c r="AA755" s="33">
        <v>288</v>
      </c>
      <c r="AB755" s="5" t="s">
        <v>2259</v>
      </c>
      <c r="AC755" s="5" t="s">
        <v>86</v>
      </c>
      <c r="AD755" s="5"/>
      <c r="AE755" s="5" t="s">
        <v>49</v>
      </c>
      <c r="AF755" s="5"/>
      <c r="AG755" s="5"/>
      <c r="AH755" s="5" t="s">
        <v>3166</v>
      </c>
    </row>
    <row r="756" spans="2:34" ht="21" customHeight="1" outlineLevel="4" x14ac:dyDescent="0.2">
      <c r="B756" s="4">
        <v>558</v>
      </c>
      <c r="C756" s="5" t="s">
        <v>3167</v>
      </c>
      <c r="D756" s="5" t="s">
        <v>3168</v>
      </c>
      <c r="E756" s="6" t="s">
        <v>3169</v>
      </c>
      <c r="F756" s="10"/>
      <c r="G756" s="11" t="s">
        <v>3170</v>
      </c>
      <c r="H756" s="12">
        <v>20</v>
      </c>
      <c r="I756" s="13" t="s">
        <v>41</v>
      </c>
      <c r="J756" s="13"/>
      <c r="K756" s="13"/>
      <c r="L756" s="4">
        <v>2</v>
      </c>
      <c r="M756" s="14">
        <f>318*(1-P3/100)</f>
        <v>318</v>
      </c>
      <c r="N756" s="15"/>
      <c r="O756" s="13">
        <f t="shared" si="22"/>
        <v>0</v>
      </c>
      <c r="P756" s="32">
        <f>0.36*N756</f>
        <v>0</v>
      </c>
      <c r="Q756" s="23">
        <f>0.00056*N756</f>
        <v>0</v>
      </c>
      <c r="R756" s="24"/>
      <c r="S756" s="25" t="s">
        <v>3171</v>
      </c>
      <c r="T756" s="25" t="s">
        <v>94</v>
      </c>
      <c r="U756" s="5"/>
      <c r="V756" s="5" t="s">
        <v>3172</v>
      </c>
      <c r="W756" s="5" t="s">
        <v>46</v>
      </c>
      <c r="X756" s="5"/>
      <c r="Y756" s="5"/>
      <c r="Z756" s="5" t="str">
        <f>HYPERLINK("https://knigipp.ru/api/getInfo/image/346983a6-27c2-11ee-a23d-00155d82e902")</f>
        <v>https://knigipp.ru/api/getInfo/image/346983a6-27c2-11ee-a23d-00155d82e902</v>
      </c>
      <c r="AA756" s="33">
        <v>288</v>
      </c>
      <c r="AB756" s="5" t="s">
        <v>2259</v>
      </c>
      <c r="AC756" s="5" t="s">
        <v>86</v>
      </c>
      <c r="AD756" s="5"/>
      <c r="AE756" s="5" t="s">
        <v>49</v>
      </c>
      <c r="AF756" s="5"/>
      <c r="AG756" s="5"/>
      <c r="AH756" s="5" t="s">
        <v>3166</v>
      </c>
    </row>
    <row r="757" spans="2:34" ht="21" customHeight="1" outlineLevel="4" x14ac:dyDescent="0.2">
      <c r="B757" s="4">
        <v>559</v>
      </c>
      <c r="C757" s="5" t="s">
        <v>3167</v>
      </c>
      <c r="D757" s="5" t="s">
        <v>3168</v>
      </c>
      <c r="E757" s="6" t="s">
        <v>3169</v>
      </c>
      <c r="F757" s="10"/>
      <c r="G757" s="11" t="s">
        <v>3170</v>
      </c>
      <c r="H757" s="12">
        <v>30</v>
      </c>
      <c r="I757" s="13" t="s">
        <v>41</v>
      </c>
      <c r="J757" s="13"/>
      <c r="K757" s="13"/>
      <c r="L757" s="4">
        <v>2</v>
      </c>
      <c r="M757" s="14">
        <f>318*(1-P3/100)</f>
        <v>318</v>
      </c>
      <c r="N757" s="15"/>
      <c r="O757" s="13">
        <f t="shared" si="22"/>
        <v>0</v>
      </c>
      <c r="P757" s="32">
        <f>0.36*N757</f>
        <v>0</v>
      </c>
      <c r="Q757" s="23">
        <f>0.00056*N757</f>
        <v>0</v>
      </c>
      <c r="R757" s="24"/>
      <c r="S757" s="25" t="s">
        <v>3171</v>
      </c>
      <c r="T757" s="25" t="s">
        <v>94</v>
      </c>
      <c r="U757" s="5"/>
      <c r="V757" s="5" t="s">
        <v>3172</v>
      </c>
      <c r="W757" s="5" t="s">
        <v>46</v>
      </c>
      <c r="X757" s="5"/>
      <c r="Y757" s="5"/>
      <c r="Z757" s="5" t="str">
        <f>HYPERLINK("https://knigipp.ru/api/getInfo/image/346983a6-27c2-11ee-a23d-00155d82e902")</f>
        <v>https://knigipp.ru/api/getInfo/image/346983a6-27c2-11ee-a23d-00155d82e902</v>
      </c>
      <c r="AA757" s="33">
        <v>288</v>
      </c>
      <c r="AB757" s="5" t="s">
        <v>2259</v>
      </c>
      <c r="AC757" s="5" t="s">
        <v>86</v>
      </c>
      <c r="AD757" s="5"/>
      <c r="AE757" s="5" t="s">
        <v>49</v>
      </c>
      <c r="AF757" s="5"/>
      <c r="AG757" s="5"/>
      <c r="AH757" s="5" t="s">
        <v>3166</v>
      </c>
    </row>
    <row r="758" spans="2:34" ht="21" customHeight="1" outlineLevel="4" x14ac:dyDescent="0.2">
      <c r="B758" s="4">
        <v>560</v>
      </c>
      <c r="C758" s="5" t="s">
        <v>3173</v>
      </c>
      <c r="D758" s="5" t="s">
        <v>3174</v>
      </c>
      <c r="E758" s="6" t="s">
        <v>3175</v>
      </c>
      <c r="F758" s="10"/>
      <c r="G758" s="11" t="s">
        <v>3170</v>
      </c>
      <c r="H758" s="12">
        <v>20</v>
      </c>
      <c r="I758" s="13" t="s">
        <v>41</v>
      </c>
      <c r="J758" s="13"/>
      <c r="K758" s="13"/>
      <c r="L758" s="4">
        <v>2</v>
      </c>
      <c r="M758" s="14">
        <f>318*(1-P3/100)</f>
        <v>318</v>
      </c>
      <c r="N758" s="15"/>
      <c r="O758" s="13">
        <f t="shared" si="22"/>
        <v>0</v>
      </c>
      <c r="P758" s="22">
        <f>0.352*N758</f>
        <v>0</v>
      </c>
      <c r="Q758" s="23">
        <f>0.00077*N758</f>
        <v>0</v>
      </c>
      <c r="R758" s="24"/>
      <c r="S758" s="25" t="s">
        <v>3176</v>
      </c>
      <c r="T758" s="25" t="s">
        <v>94</v>
      </c>
      <c r="U758" s="5"/>
      <c r="V758" s="5"/>
      <c r="W758" s="5" t="s">
        <v>46</v>
      </c>
      <c r="X758" s="5"/>
      <c r="Y758" s="5"/>
      <c r="Z758" s="5" t="str">
        <f>HYPERLINK("https://knigipp.ru/api/getInfo/image/8147bd3b-d7d0-11ee-a25a-00155d82e908")</f>
        <v>https://knigipp.ru/api/getInfo/image/8147bd3b-d7d0-11ee-a25a-00155d82e908</v>
      </c>
      <c r="AA758" s="33">
        <v>288</v>
      </c>
      <c r="AB758" s="5" t="s">
        <v>2259</v>
      </c>
      <c r="AC758" s="5" t="s">
        <v>86</v>
      </c>
      <c r="AD758" s="5"/>
      <c r="AE758" s="5" t="s">
        <v>49</v>
      </c>
      <c r="AF758" s="5"/>
      <c r="AG758" s="5"/>
      <c r="AH758" s="5" t="s">
        <v>3166</v>
      </c>
    </row>
    <row r="759" spans="2:34" ht="21" customHeight="1" outlineLevel="4" x14ac:dyDescent="0.2">
      <c r="B759" s="4">
        <v>561</v>
      </c>
      <c r="C759" s="5" t="s">
        <v>3177</v>
      </c>
      <c r="D759" s="5" t="s">
        <v>3178</v>
      </c>
      <c r="E759" s="6" t="s">
        <v>3179</v>
      </c>
      <c r="F759" s="10"/>
      <c r="G759" s="11" t="s">
        <v>3163</v>
      </c>
      <c r="H759" s="12">
        <v>30</v>
      </c>
      <c r="I759" s="13" t="s">
        <v>41</v>
      </c>
      <c r="J759" s="13"/>
      <c r="K759" s="13"/>
      <c r="L759" s="4">
        <v>2</v>
      </c>
      <c r="M759" s="14">
        <f>318*(1-P3/100)</f>
        <v>318</v>
      </c>
      <c r="N759" s="15"/>
      <c r="O759" s="13">
        <f t="shared" si="22"/>
        <v>0</v>
      </c>
      <c r="P759" s="22">
        <f>0.358*N759</f>
        <v>0</v>
      </c>
      <c r="Q759" s="23">
        <f>0.00066*N759</f>
        <v>0</v>
      </c>
      <c r="R759" s="24"/>
      <c r="S759" s="25" t="s">
        <v>3180</v>
      </c>
      <c r="T759" s="25" t="s">
        <v>94</v>
      </c>
      <c r="U759" s="5"/>
      <c r="V759" s="5" t="s">
        <v>3181</v>
      </c>
      <c r="W759" s="5" t="s">
        <v>46</v>
      </c>
      <c r="X759" s="5" t="s">
        <v>992</v>
      </c>
      <c r="Y759" s="5"/>
      <c r="Z759" s="5" t="str">
        <f>HYPERLINK("https://knigipp.ru/api/getInfo/image/7e1bdf7e-977d-11ef-a267-00155d82e908")</f>
        <v>https://knigipp.ru/api/getInfo/image/7e1bdf7e-977d-11ef-a267-00155d82e908</v>
      </c>
      <c r="AA759" s="33">
        <v>288</v>
      </c>
      <c r="AB759" s="5" t="s">
        <v>2259</v>
      </c>
      <c r="AC759" s="5" t="s">
        <v>86</v>
      </c>
      <c r="AD759" s="5"/>
      <c r="AE759" s="5" t="s">
        <v>49</v>
      </c>
      <c r="AF759" s="5"/>
      <c r="AG759" s="5"/>
      <c r="AH759" s="5" t="s">
        <v>3166</v>
      </c>
    </row>
    <row r="760" spans="2:34" ht="21" customHeight="1" outlineLevel="4" x14ac:dyDescent="0.2">
      <c r="B760" s="4">
        <v>562</v>
      </c>
      <c r="C760" s="5" t="s">
        <v>3182</v>
      </c>
      <c r="D760" s="5" t="s">
        <v>3183</v>
      </c>
      <c r="E760" s="6" t="s">
        <v>3184</v>
      </c>
      <c r="F760" s="10"/>
      <c r="G760" s="11" t="s">
        <v>3170</v>
      </c>
      <c r="H760" s="12">
        <v>20</v>
      </c>
      <c r="I760" s="13" t="s">
        <v>41</v>
      </c>
      <c r="J760" s="13"/>
      <c r="K760" s="13"/>
      <c r="L760" s="4">
        <v>2</v>
      </c>
      <c r="M760" s="14">
        <f>318*(1-P3/100)</f>
        <v>318</v>
      </c>
      <c r="N760" s="15"/>
      <c r="O760" s="13">
        <f t="shared" si="22"/>
        <v>0</v>
      </c>
      <c r="P760" s="22">
        <f>0.361*N760</f>
        <v>0</v>
      </c>
      <c r="Q760" s="23">
        <f>0.00054*N760</f>
        <v>0</v>
      </c>
      <c r="R760" s="24"/>
      <c r="S760" s="25" t="s">
        <v>3185</v>
      </c>
      <c r="T760" s="25" t="s">
        <v>94</v>
      </c>
      <c r="U760" s="5"/>
      <c r="V760" s="5" t="s">
        <v>3186</v>
      </c>
      <c r="W760" s="5" t="s">
        <v>46</v>
      </c>
      <c r="X760" s="5"/>
      <c r="Y760" s="5"/>
      <c r="Z760" s="5" t="str">
        <f>HYPERLINK("https://knigipp.ru/api/getInfo/image/ffb076af-27c1-11ee-a23d-00155d82e902")</f>
        <v>https://knigipp.ru/api/getInfo/image/ffb076af-27c1-11ee-a23d-00155d82e902</v>
      </c>
      <c r="AA760" s="33">
        <v>288</v>
      </c>
      <c r="AB760" s="5" t="s">
        <v>2259</v>
      </c>
      <c r="AC760" s="5" t="s">
        <v>86</v>
      </c>
      <c r="AD760" s="5"/>
      <c r="AE760" s="5" t="s">
        <v>49</v>
      </c>
      <c r="AF760" s="5"/>
      <c r="AG760" s="5"/>
      <c r="AH760" s="5" t="s">
        <v>3166</v>
      </c>
    </row>
    <row r="761" spans="2:34" ht="21" customHeight="1" outlineLevel="4" x14ac:dyDescent="0.2">
      <c r="B761" s="4">
        <v>563</v>
      </c>
      <c r="C761" s="5" t="s">
        <v>3182</v>
      </c>
      <c r="D761" s="5" t="s">
        <v>3183</v>
      </c>
      <c r="E761" s="6" t="s">
        <v>3184</v>
      </c>
      <c r="F761" s="10"/>
      <c r="G761" s="11" t="s">
        <v>3170</v>
      </c>
      <c r="H761" s="12">
        <v>30</v>
      </c>
      <c r="I761" s="13" t="s">
        <v>41</v>
      </c>
      <c r="J761" s="13"/>
      <c r="K761" s="13"/>
      <c r="L761" s="4">
        <v>2</v>
      </c>
      <c r="M761" s="14">
        <f>318*(1-P3/100)</f>
        <v>318</v>
      </c>
      <c r="N761" s="15"/>
      <c r="O761" s="13">
        <f t="shared" si="22"/>
        <v>0</v>
      </c>
      <c r="P761" s="22">
        <f>0.361*N761</f>
        <v>0</v>
      </c>
      <c r="Q761" s="23">
        <f>0.00054*N761</f>
        <v>0</v>
      </c>
      <c r="R761" s="24"/>
      <c r="S761" s="25" t="s">
        <v>3185</v>
      </c>
      <c r="T761" s="25" t="s">
        <v>94</v>
      </c>
      <c r="U761" s="5"/>
      <c r="V761" s="5" t="s">
        <v>3186</v>
      </c>
      <c r="W761" s="5" t="s">
        <v>46</v>
      </c>
      <c r="X761" s="5"/>
      <c r="Y761" s="5"/>
      <c r="Z761" s="5" t="str">
        <f>HYPERLINK("https://knigipp.ru/api/getInfo/image/ffb076af-27c1-11ee-a23d-00155d82e902")</f>
        <v>https://knigipp.ru/api/getInfo/image/ffb076af-27c1-11ee-a23d-00155d82e902</v>
      </c>
      <c r="AA761" s="33">
        <v>288</v>
      </c>
      <c r="AB761" s="5" t="s">
        <v>2259</v>
      </c>
      <c r="AC761" s="5" t="s">
        <v>86</v>
      </c>
      <c r="AD761" s="5"/>
      <c r="AE761" s="5" t="s">
        <v>49</v>
      </c>
      <c r="AF761" s="5"/>
      <c r="AG761" s="5"/>
      <c r="AH761" s="5" t="s">
        <v>3166</v>
      </c>
    </row>
    <row r="762" spans="2:34" ht="21" customHeight="1" outlineLevel="4" x14ac:dyDescent="0.2">
      <c r="B762" s="4">
        <v>564</v>
      </c>
      <c r="C762" s="5" t="s">
        <v>3187</v>
      </c>
      <c r="D762" s="5" t="s">
        <v>3188</v>
      </c>
      <c r="E762" s="6" t="s">
        <v>3189</v>
      </c>
      <c r="F762" s="10"/>
      <c r="G762" s="11" t="s">
        <v>3163</v>
      </c>
      <c r="H762" s="12">
        <v>20</v>
      </c>
      <c r="I762" s="13" t="s">
        <v>41</v>
      </c>
      <c r="J762" s="13"/>
      <c r="K762" s="13"/>
      <c r="L762" s="4">
        <v>2</v>
      </c>
      <c r="M762" s="14">
        <f>318*(1-P3/100)</f>
        <v>318</v>
      </c>
      <c r="N762" s="15"/>
      <c r="O762" s="13">
        <f t="shared" si="22"/>
        <v>0</v>
      </c>
      <c r="P762" s="22">
        <f>0.367*N762</f>
        <v>0</v>
      </c>
      <c r="Q762" s="23">
        <f>0.00066*N762</f>
        <v>0</v>
      </c>
      <c r="R762" s="24"/>
      <c r="S762" s="25" t="s">
        <v>3190</v>
      </c>
      <c r="T762" s="25" t="s">
        <v>94</v>
      </c>
      <c r="U762" s="5"/>
      <c r="V762" s="5" t="s">
        <v>3191</v>
      </c>
      <c r="W762" s="5" t="s">
        <v>46</v>
      </c>
      <c r="X762" s="5"/>
      <c r="Y762" s="5"/>
      <c r="Z762" s="5" t="str">
        <f>HYPERLINK("https://knigipp.ru/api/getInfo/image/67586e10-2a47-11ef-a261-00155d82e908")</f>
        <v>https://knigipp.ru/api/getInfo/image/67586e10-2a47-11ef-a261-00155d82e908</v>
      </c>
      <c r="AA762" s="33">
        <v>288</v>
      </c>
      <c r="AB762" s="5" t="s">
        <v>2259</v>
      </c>
      <c r="AC762" s="5" t="s">
        <v>86</v>
      </c>
      <c r="AD762" s="5"/>
      <c r="AE762" s="5" t="s">
        <v>49</v>
      </c>
      <c r="AF762" s="5"/>
      <c r="AG762" s="5"/>
      <c r="AH762" s="5" t="s">
        <v>3166</v>
      </c>
    </row>
    <row r="763" spans="2:34" ht="21" customHeight="1" outlineLevel="4" x14ac:dyDescent="0.2">
      <c r="B763" s="4">
        <v>565</v>
      </c>
      <c r="C763" s="5" t="s">
        <v>3192</v>
      </c>
      <c r="D763" s="5" t="s">
        <v>3193</v>
      </c>
      <c r="E763" s="6" t="s">
        <v>3194</v>
      </c>
      <c r="F763" s="10"/>
      <c r="G763" s="11" t="s">
        <v>3170</v>
      </c>
      <c r="H763" s="12">
        <v>20</v>
      </c>
      <c r="I763" s="13" t="s">
        <v>41</v>
      </c>
      <c r="J763" s="13"/>
      <c r="K763" s="13"/>
      <c r="L763" s="4">
        <v>2</v>
      </c>
      <c r="M763" s="14">
        <f>318*(1-P3/100)</f>
        <v>318</v>
      </c>
      <c r="N763" s="15"/>
      <c r="O763" s="13">
        <f t="shared" si="22"/>
        <v>0</v>
      </c>
      <c r="P763" s="22">
        <f>0.361*N763</f>
        <v>0</v>
      </c>
      <c r="Q763" s="23">
        <f>0.00054*N763</f>
        <v>0</v>
      </c>
      <c r="R763" s="24"/>
      <c r="S763" s="25" t="s">
        <v>3195</v>
      </c>
      <c r="T763" s="25" t="s">
        <v>94</v>
      </c>
      <c r="U763" s="5"/>
      <c r="V763" s="5" t="s">
        <v>3196</v>
      </c>
      <c r="W763" s="5" t="s">
        <v>46</v>
      </c>
      <c r="X763" s="5"/>
      <c r="Y763" s="5"/>
      <c r="Z763" s="5" t="str">
        <f>HYPERLINK("https://knigipp.ru/api/getInfo/image/6cb6515b-27c0-11ee-a23d-00155d82e902")</f>
        <v>https://knigipp.ru/api/getInfo/image/6cb6515b-27c0-11ee-a23d-00155d82e902</v>
      </c>
      <c r="AA763" s="33">
        <v>288</v>
      </c>
      <c r="AB763" s="5" t="s">
        <v>2259</v>
      </c>
      <c r="AC763" s="5" t="s">
        <v>86</v>
      </c>
      <c r="AD763" s="5"/>
      <c r="AE763" s="5" t="s">
        <v>49</v>
      </c>
      <c r="AF763" s="5"/>
      <c r="AG763" s="5"/>
      <c r="AH763" s="5" t="s">
        <v>3166</v>
      </c>
    </row>
    <row r="764" spans="2:34" ht="21" customHeight="1" outlineLevel="4" x14ac:dyDescent="0.2">
      <c r="B764" s="4">
        <v>566</v>
      </c>
      <c r="C764" s="5" t="s">
        <v>3192</v>
      </c>
      <c r="D764" s="5" t="s">
        <v>3193</v>
      </c>
      <c r="E764" s="6" t="s">
        <v>3194</v>
      </c>
      <c r="F764" s="10"/>
      <c r="G764" s="11" t="s">
        <v>3170</v>
      </c>
      <c r="H764" s="12">
        <v>30</v>
      </c>
      <c r="I764" s="13" t="s">
        <v>41</v>
      </c>
      <c r="J764" s="13"/>
      <c r="K764" s="13"/>
      <c r="L764" s="4">
        <v>2</v>
      </c>
      <c r="M764" s="14">
        <f>318*(1-P3/100)</f>
        <v>318</v>
      </c>
      <c r="N764" s="15"/>
      <c r="O764" s="13">
        <f t="shared" si="22"/>
        <v>0</v>
      </c>
      <c r="P764" s="22">
        <f>0.361*N764</f>
        <v>0</v>
      </c>
      <c r="Q764" s="23">
        <f>0.00054*N764</f>
        <v>0</v>
      </c>
      <c r="R764" s="24"/>
      <c r="S764" s="25" t="s">
        <v>3195</v>
      </c>
      <c r="T764" s="25" t="s">
        <v>94</v>
      </c>
      <c r="U764" s="5"/>
      <c r="V764" s="5" t="s">
        <v>3196</v>
      </c>
      <c r="W764" s="5" t="s">
        <v>46</v>
      </c>
      <c r="X764" s="5"/>
      <c r="Y764" s="5"/>
      <c r="Z764" s="5" t="str">
        <f>HYPERLINK("https://knigipp.ru/api/getInfo/image/6cb6515b-27c0-11ee-a23d-00155d82e902")</f>
        <v>https://knigipp.ru/api/getInfo/image/6cb6515b-27c0-11ee-a23d-00155d82e902</v>
      </c>
      <c r="AA764" s="33">
        <v>288</v>
      </c>
      <c r="AB764" s="5" t="s">
        <v>2259</v>
      </c>
      <c r="AC764" s="5" t="s">
        <v>86</v>
      </c>
      <c r="AD764" s="5"/>
      <c r="AE764" s="5" t="s">
        <v>49</v>
      </c>
      <c r="AF764" s="5"/>
      <c r="AG764" s="5"/>
      <c r="AH764" s="5" t="s">
        <v>3166</v>
      </c>
    </row>
    <row r="765" spans="2:34" ht="21" customHeight="1" outlineLevel="4" x14ac:dyDescent="0.2">
      <c r="B765" s="4">
        <v>567</v>
      </c>
      <c r="C765" s="5" t="s">
        <v>3197</v>
      </c>
      <c r="D765" s="5" t="s">
        <v>3198</v>
      </c>
      <c r="E765" s="6" t="s">
        <v>3199</v>
      </c>
      <c r="F765" s="10"/>
      <c r="G765" s="11" t="s">
        <v>3170</v>
      </c>
      <c r="H765" s="12">
        <v>20</v>
      </c>
      <c r="I765" s="13" t="s">
        <v>41</v>
      </c>
      <c r="J765" s="13"/>
      <c r="K765" s="13"/>
      <c r="L765" s="4">
        <v>2</v>
      </c>
      <c r="M765" s="14">
        <f>318*(1-P3/100)</f>
        <v>318</v>
      </c>
      <c r="N765" s="15"/>
      <c r="O765" s="13">
        <f t="shared" si="22"/>
        <v>0</v>
      </c>
      <c r="P765" s="22">
        <f>0.356*N765</f>
        <v>0</v>
      </c>
      <c r="Q765" s="30">
        <f>0.0006*N765</f>
        <v>0</v>
      </c>
      <c r="R765" s="24"/>
      <c r="S765" s="25" t="s">
        <v>3200</v>
      </c>
      <c r="T765" s="25" t="s">
        <v>94</v>
      </c>
      <c r="U765" s="5"/>
      <c r="V765" s="5"/>
      <c r="W765" s="5" t="s">
        <v>46</v>
      </c>
      <c r="X765" s="5"/>
      <c r="Y765" s="5"/>
      <c r="Z765" s="5" t="str">
        <f>HYPERLINK("https://knigipp.ru/api/getInfo/image/a502bbd5-b3b0-11ee-a259-00155d82e908")</f>
        <v>https://knigipp.ru/api/getInfo/image/a502bbd5-b3b0-11ee-a259-00155d82e908</v>
      </c>
      <c r="AA765" s="33">
        <v>288</v>
      </c>
      <c r="AB765" s="5" t="s">
        <v>2259</v>
      </c>
      <c r="AC765" s="5" t="s">
        <v>86</v>
      </c>
      <c r="AD765" s="5"/>
      <c r="AE765" s="5" t="s">
        <v>49</v>
      </c>
      <c r="AF765" s="5"/>
      <c r="AG765" s="5"/>
      <c r="AH765" s="5" t="s">
        <v>3166</v>
      </c>
    </row>
    <row r="766" spans="2:34" ht="21" customHeight="1" outlineLevel="4" x14ac:dyDescent="0.2">
      <c r="B766" s="4">
        <v>568</v>
      </c>
      <c r="C766" s="5" t="s">
        <v>3197</v>
      </c>
      <c r="D766" s="5" t="s">
        <v>3198</v>
      </c>
      <c r="E766" s="6" t="s">
        <v>3199</v>
      </c>
      <c r="F766" s="10"/>
      <c r="G766" s="11" t="s">
        <v>3170</v>
      </c>
      <c r="H766" s="12">
        <v>30</v>
      </c>
      <c r="I766" s="13" t="s">
        <v>41</v>
      </c>
      <c r="J766" s="13"/>
      <c r="K766" s="13"/>
      <c r="L766" s="4">
        <v>2</v>
      </c>
      <c r="M766" s="14">
        <f>318*(1-P3/100)</f>
        <v>318</v>
      </c>
      <c r="N766" s="15"/>
      <c r="O766" s="13">
        <f t="shared" si="22"/>
        <v>0</v>
      </c>
      <c r="P766" s="22">
        <f>0.356*N766</f>
        <v>0</v>
      </c>
      <c r="Q766" s="30">
        <f>0.0006*N766</f>
        <v>0</v>
      </c>
      <c r="R766" s="24"/>
      <c r="S766" s="25" t="s">
        <v>3200</v>
      </c>
      <c r="T766" s="25" t="s">
        <v>94</v>
      </c>
      <c r="U766" s="5"/>
      <c r="V766" s="5"/>
      <c r="W766" s="5" t="s">
        <v>46</v>
      </c>
      <c r="X766" s="5"/>
      <c r="Y766" s="5"/>
      <c r="Z766" s="5" t="str">
        <f>HYPERLINK("https://knigipp.ru/api/getInfo/image/a502bbd5-b3b0-11ee-a259-00155d82e908")</f>
        <v>https://knigipp.ru/api/getInfo/image/a502bbd5-b3b0-11ee-a259-00155d82e908</v>
      </c>
      <c r="AA766" s="33">
        <v>288</v>
      </c>
      <c r="AB766" s="5" t="s">
        <v>2259</v>
      </c>
      <c r="AC766" s="5" t="s">
        <v>86</v>
      </c>
      <c r="AD766" s="5"/>
      <c r="AE766" s="5" t="s">
        <v>49</v>
      </c>
      <c r="AF766" s="5"/>
      <c r="AG766" s="5"/>
      <c r="AH766" s="5" t="s">
        <v>3166</v>
      </c>
    </row>
    <row r="767" spans="2:34" ht="21" customHeight="1" outlineLevel="4" x14ac:dyDescent="0.2">
      <c r="B767" s="4">
        <v>569</v>
      </c>
      <c r="C767" s="5" t="s">
        <v>3201</v>
      </c>
      <c r="D767" s="5" t="s">
        <v>3202</v>
      </c>
      <c r="E767" s="6" t="s">
        <v>3203</v>
      </c>
      <c r="F767" s="10"/>
      <c r="G767" s="11" t="s">
        <v>3163</v>
      </c>
      <c r="H767" s="12">
        <v>30</v>
      </c>
      <c r="I767" s="13" t="s">
        <v>41</v>
      </c>
      <c r="J767" s="13"/>
      <c r="K767" s="13"/>
      <c r="L767" s="4">
        <v>2</v>
      </c>
      <c r="M767" s="14">
        <f>318*(1-P3/100)</f>
        <v>318</v>
      </c>
      <c r="N767" s="15"/>
      <c r="O767" s="13">
        <f t="shared" si="22"/>
        <v>0</v>
      </c>
      <c r="P767" s="22">
        <f>0.361*N767</f>
        <v>0</v>
      </c>
      <c r="Q767" s="23">
        <f>0.00066*N767</f>
        <v>0</v>
      </c>
      <c r="R767" s="24"/>
      <c r="S767" s="25" t="s">
        <v>3204</v>
      </c>
      <c r="T767" s="25" t="s">
        <v>94</v>
      </c>
      <c r="U767" s="5"/>
      <c r="V767" s="5" t="s">
        <v>3205</v>
      </c>
      <c r="W767" s="5" t="s">
        <v>46</v>
      </c>
      <c r="X767" s="5"/>
      <c r="Y767" s="5"/>
      <c r="Z767" s="5" t="str">
        <f>HYPERLINK("https://knigipp.ru/api/getInfo/image/a9727ac2-977d-11ef-a267-00155d82e908")</f>
        <v>https://knigipp.ru/api/getInfo/image/a9727ac2-977d-11ef-a267-00155d82e908</v>
      </c>
      <c r="AA767" s="33">
        <v>288</v>
      </c>
      <c r="AB767" s="5" t="s">
        <v>2259</v>
      </c>
      <c r="AC767" s="5" t="s">
        <v>86</v>
      </c>
      <c r="AD767" s="5"/>
      <c r="AE767" s="5" t="s">
        <v>49</v>
      </c>
      <c r="AF767" s="5"/>
      <c r="AG767" s="5"/>
      <c r="AH767" s="5" t="s">
        <v>3166</v>
      </c>
    </row>
    <row r="768" spans="2:34" ht="22.95" customHeight="1" outlineLevel="3" x14ac:dyDescent="0.2">
      <c r="B768" s="74" t="s">
        <v>3206</v>
      </c>
      <c r="C768" s="74"/>
      <c r="D768" s="74"/>
    </row>
    <row r="769" spans="2:34" ht="21" customHeight="1" outlineLevel="4" x14ac:dyDescent="0.2">
      <c r="B769" s="4">
        <v>570</v>
      </c>
      <c r="C769" s="5" t="s">
        <v>3207</v>
      </c>
      <c r="D769" s="5" t="s">
        <v>3208</v>
      </c>
      <c r="E769" s="6" t="s">
        <v>3209</v>
      </c>
      <c r="F769" s="10"/>
      <c r="G769" s="11" t="s">
        <v>3163</v>
      </c>
      <c r="H769" s="12">
        <v>20</v>
      </c>
      <c r="I769" s="13" t="s">
        <v>41</v>
      </c>
      <c r="J769" s="13"/>
      <c r="K769" s="13"/>
      <c r="L769" s="4">
        <v>3</v>
      </c>
      <c r="M769" s="14">
        <f>257*(1-P3/100)</f>
        <v>257</v>
      </c>
      <c r="N769" s="15"/>
      <c r="O769" s="13">
        <f>M769*N769</f>
        <v>0</v>
      </c>
      <c r="P769" s="22">
        <f>0.353*N769</f>
        <v>0</v>
      </c>
      <c r="Q769" s="23">
        <f>0.00063*N769</f>
        <v>0</v>
      </c>
      <c r="R769" s="24"/>
      <c r="S769" s="25" t="s">
        <v>3210</v>
      </c>
      <c r="T769" s="25" t="s">
        <v>94</v>
      </c>
      <c r="U769" s="5"/>
      <c r="V769" s="5"/>
      <c r="W769" s="5" t="s">
        <v>46</v>
      </c>
      <c r="X769" s="5"/>
      <c r="Y769" s="5"/>
      <c r="Z769" s="5" t="str">
        <f>HYPERLINK("https://knigipp.ru/api/getInfo/image/2cdd1450-9649-11ed-a22d-00155d82e902")</f>
        <v>https://knigipp.ru/api/getInfo/image/2cdd1450-9649-11ed-a22d-00155d82e902</v>
      </c>
      <c r="AA769" s="33">
        <v>288</v>
      </c>
      <c r="AB769" s="5" t="s">
        <v>2259</v>
      </c>
      <c r="AC769" s="5" t="s">
        <v>86</v>
      </c>
      <c r="AD769" s="5"/>
      <c r="AE769" s="5" t="s">
        <v>49</v>
      </c>
      <c r="AF769" s="5"/>
      <c r="AG769" s="5"/>
      <c r="AH769" s="5" t="s">
        <v>3211</v>
      </c>
    </row>
    <row r="770" spans="2:34" ht="21" customHeight="1" outlineLevel="4" x14ac:dyDescent="0.2">
      <c r="B770" s="4">
        <v>571</v>
      </c>
      <c r="C770" s="5" t="s">
        <v>3212</v>
      </c>
      <c r="D770" s="5" t="s">
        <v>3213</v>
      </c>
      <c r="E770" s="6" t="s">
        <v>3214</v>
      </c>
      <c r="F770" s="10"/>
      <c r="G770" s="11" t="s">
        <v>3163</v>
      </c>
      <c r="H770" s="12">
        <v>20</v>
      </c>
      <c r="I770" s="13" t="s">
        <v>41</v>
      </c>
      <c r="J770" s="13"/>
      <c r="K770" s="13"/>
      <c r="L770" s="4">
        <v>3</v>
      </c>
      <c r="M770" s="14">
        <f>257*(1-P3/100)</f>
        <v>257</v>
      </c>
      <c r="N770" s="15"/>
      <c r="O770" s="13">
        <f>M770*N770</f>
        <v>0</v>
      </c>
      <c r="P770" s="22">
        <f>0.446*N770</f>
        <v>0</v>
      </c>
      <c r="Q770" s="23">
        <f>0.00071*N770</f>
        <v>0</v>
      </c>
      <c r="R770" s="24"/>
      <c r="S770" s="25" t="s">
        <v>3215</v>
      </c>
      <c r="T770" s="25" t="s">
        <v>94</v>
      </c>
      <c r="U770" s="5"/>
      <c r="V770" s="5"/>
      <c r="W770" s="5" t="s">
        <v>46</v>
      </c>
      <c r="X770" s="5"/>
      <c r="Y770" s="5"/>
      <c r="Z770" s="5" t="str">
        <f>HYPERLINK("https://knigipp.ru/api/getInfo/image/085d5816-48e9-11ef-a262-00155d82e908")</f>
        <v>https://knigipp.ru/api/getInfo/image/085d5816-48e9-11ef-a262-00155d82e908</v>
      </c>
      <c r="AA770" s="33">
        <v>288</v>
      </c>
      <c r="AB770" s="5" t="s">
        <v>2259</v>
      </c>
      <c r="AC770" s="5" t="s">
        <v>86</v>
      </c>
      <c r="AD770" s="5"/>
      <c r="AE770" s="5" t="s">
        <v>49</v>
      </c>
      <c r="AF770" s="5"/>
      <c r="AG770" s="5"/>
      <c r="AH770" s="5" t="s">
        <v>3211</v>
      </c>
    </row>
    <row r="771" spans="2:34" ht="21" customHeight="1" outlineLevel="4" x14ac:dyDescent="0.2">
      <c r="B771" s="4">
        <v>572</v>
      </c>
      <c r="C771" s="5" t="s">
        <v>3216</v>
      </c>
      <c r="D771" s="5" t="s">
        <v>3217</v>
      </c>
      <c r="E771" s="6" t="s">
        <v>3218</v>
      </c>
      <c r="F771" s="10"/>
      <c r="G771" s="11" t="s">
        <v>3163</v>
      </c>
      <c r="H771" s="12">
        <v>20</v>
      </c>
      <c r="I771" s="13" t="s">
        <v>41</v>
      </c>
      <c r="J771" s="13"/>
      <c r="K771" s="13"/>
      <c r="L771" s="4">
        <v>3</v>
      </c>
      <c r="M771" s="14">
        <f>257*(1-P3/100)</f>
        <v>257</v>
      </c>
      <c r="N771" s="15"/>
      <c r="O771" s="13">
        <f>M771*N771</f>
        <v>0</v>
      </c>
      <c r="P771" s="13">
        <v>0</v>
      </c>
      <c r="Q771" s="13">
        <v>0</v>
      </c>
      <c r="R771" s="24"/>
      <c r="S771" s="25" t="s">
        <v>3219</v>
      </c>
      <c r="T771" s="25" t="s">
        <v>94</v>
      </c>
      <c r="U771" s="5"/>
      <c r="V771" s="5"/>
      <c r="W771" s="5" t="s">
        <v>46</v>
      </c>
      <c r="X771" s="5"/>
      <c r="Y771" s="5"/>
      <c r="Z771" s="5" t="str">
        <f>HYPERLINK("https://knigipp.ru/api/getInfo/image/6a558c61-d7d3-11ee-a25a-00155d82e908")</f>
        <v>https://knigipp.ru/api/getInfo/image/6a558c61-d7d3-11ee-a25a-00155d82e908</v>
      </c>
      <c r="AA771" s="33">
        <v>288</v>
      </c>
      <c r="AB771" s="5" t="s">
        <v>2259</v>
      </c>
      <c r="AC771" s="5" t="s">
        <v>86</v>
      </c>
      <c r="AD771" s="5"/>
      <c r="AE771" s="5" t="s">
        <v>49</v>
      </c>
      <c r="AF771" s="5"/>
      <c r="AG771" s="5"/>
      <c r="AH771" s="5" t="s">
        <v>3211</v>
      </c>
    </row>
    <row r="772" spans="2:34" ht="21" customHeight="1" outlineLevel="4" x14ac:dyDescent="0.2">
      <c r="B772" s="4">
        <v>573</v>
      </c>
      <c r="C772" s="5" t="s">
        <v>3220</v>
      </c>
      <c r="D772" s="5" t="s">
        <v>3221</v>
      </c>
      <c r="E772" s="6" t="s">
        <v>3222</v>
      </c>
      <c r="F772" s="10"/>
      <c r="G772" s="11" t="s">
        <v>3163</v>
      </c>
      <c r="H772" s="12">
        <v>20</v>
      </c>
      <c r="I772" s="13" t="s">
        <v>41</v>
      </c>
      <c r="J772" s="13"/>
      <c r="K772" s="13"/>
      <c r="L772" s="4">
        <v>3</v>
      </c>
      <c r="M772" s="14">
        <f>257*(1-P3/100)</f>
        <v>257</v>
      </c>
      <c r="N772" s="15"/>
      <c r="O772" s="13">
        <f>M772*N772</f>
        <v>0</v>
      </c>
      <c r="P772" s="22">
        <f>0.355*N772</f>
        <v>0</v>
      </c>
      <c r="Q772" s="23">
        <f>0.00063*N772</f>
        <v>0</v>
      </c>
      <c r="R772" s="24"/>
      <c r="S772" s="25" t="s">
        <v>3223</v>
      </c>
      <c r="T772" s="25" t="s">
        <v>94</v>
      </c>
      <c r="U772" s="5"/>
      <c r="V772" s="5"/>
      <c r="W772" s="5" t="s">
        <v>46</v>
      </c>
      <c r="X772" s="5"/>
      <c r="Y772" s="5"/>
      <c r="Z772" s="5" t="str">
        <f>HYPERLINK("https://knigipp.ru/api/getInfo/image/eee49b80-9648-11ed-a22d-00155d82e902")</f>
        <v>https://knigipp.ru/api/getInfo/image/eee49b80-9648-11ed-a22d-00155d82e902</v>
      </c>
      <c r="AA772" s="33">
        <v>288</v>
      </c>
      <c r="AB772" s="5" t="s">
        <v>2259</v>
      </c>
      <c r="AC772" s="5" t="s">
        <v>86</v>
      </c>
      <c r="AD772" s="5"/>
      <c r="AE772" s="5" t="s">
        <v>49</v>
      </c>
      <c r="AF772" s="5"/>
      <c r="AG772" s="5"/>
      <c r="AH772" s="5" t="s">
        <v>3211</v>
      </c>
    </row>
    <row r="773" spans="2:34" ht="22.95" customHeight="1" outlineLevel="3" x14ac:dyDescent="0.2">
      <c r="B773" s="74" t="s">
        <v>3224</v>
      </c>
      <c r="C773" s="74"/>
      <c r="D773" s="74"/>
    </row>
    <row r="774" spans="2:34" ht="21" customHeight="1" outlineLevel="4" x14ac:dyDescent="0.2">
      <c r="B774" s="4">
        <v>574</v>
      </c>
      <c r="C774" s="5" t="s">
        <v>3225</v>
      </c>
      <c r="D774" s="5" t="s">
        <v>3226</v>
      </c>
      <c r="E774" s="6" t="s">
        <v>3227</v>
      </c>
      <c r="F774" s="10"/>
      <c r="G774" s="11" t="s">
        <v>3228</v>
      </c>
      <c r="H774" s="12">
        <v>20</v>
      </c>
      <c r="I774" s="13" t="s">
        <v>41</v>
      </c>
      <c r="J774" s="13"/>
      <c r="K774" s="13"/>
      <c r="L774" s="4">
        <v>5</v>
      </c>
      <c r="M774" s="14">
        <f>131*(1-P3/100)</f>
        <v>131</v>
      </c>
      <c r="N774" s="15"/>
      <c r="O774" s="13">
        <f>M774*N774</f>
        <v>0</v>
      </c>
      <c r="P774" s="22">
        <f>0.193*N774</f>
        <v>0</v>
      </c>
      <c r="Q774" s="30">
        <f>0.0005*N774</f>
        <v>0</v>
      </c>
      <c r="R774" s="24"/>
      <c r="S774" s="25" t="s">
        <v>3229</v>
      </c>
      <c r="T774" s="25" t="s">
        <v>94</v>
      </c>
      <c r="U774" s="5"/>
      <c r="V774" s="5"/>
      <c r="W774" s="5" t="s">
        <v>46</v>
      </c>
      <c r="X774" s="5"/>
      <c r="Y774" s="5"/>
      <c r="Z774" s="5" t="str">
        <f>HYPERLINK("https://knigipp.ru/api/getInfo/image/01886948-964a-11ed-a22d-00155d82e902")</f>
        <v>https://knigipp.ru/api/getInfo/image/01886948-964a-11ed-a22d-00155d82e902</v>
      </c>
      <c r="AA774" s="33">
        <v>192</v>
      </c>
      <c r="AB774" s="5" t="s">
        <v>2259</v>
      </c>
      <c r="AC774" s="5" t="s">
        <v>48</v>
      </c>
      <c r="AD774" s="5"/>
      <c r="AE774" s="5" t="s">
        <v>49</v>
      </c>
      <c r="AF774" s="5"/>
      <c r="AG774" s="5"/>
      <c r="AH774" s="5" t="s">
        <v>3230</v>
      </c>
    </row>
    <row r="775" spans="2:34" ht="21" customHeight="1" outlineLevel="4" x14ac:dyDescent="0.2">
      <c r="B775" s="4">
        <v>575</v>
      </c>
      <c r="C775" s="5" t="s">
        <v>3231</v>
      </c>
      <c r="D775" s="5" t="s">
        <v>3232</v>
      </c>
      <c r="E775" s="6" t="s">
        <v>3233</v>
      </c>
      <c r="F775" s="10"/>
      <c r="G775" s="11" t="s">
        <v>3228</v>
      </c>
      <c r="H775" s="12">
        <v>20</v>
      </c>
      <c r="I775" s="13" t="s">
        <v>261</v>
      </c>
      <c r="J775" s="13"/>
      <c r="K775" s="13"/>
      <c r="L775" s="4">
        <v>5</v>
      </c>
      <c r="M775" s="14">
        <f>131*(1-P3/100)</f>
        <v>131</v>
      </c>
      <c r="N775" s="15"/>
      <c r="O775" s="13">
        <f>M775*N775</f>
        <v>0</v>
      </c>
      <c r="P775" s="22">
        <f>0.193*N775</f>
        <v>0</v>
      </c>
      <c r="Q775" s="23">
        <f>0.00045*N775</f>
        <v>0</v>
      </c>
      <c r="R775" s="24"/>
      <c r="S775" s="25" t="s">
        <v>3234</v>
      </c>
      <c r="T775" s="25" t="s">
        <v>94</v>
      </c>
      <c r="U775" s="5"/>
      <c r="V775" s="5"/>
      <c r="W775" s="5" t="s">
        <v>46</v>
      </c>
      <c r="X775" s="5"/>
      <c r="Y775" s="5"/>
      <c r="Z775" s="5" t="str">
        <f>HYPERLINK("https://knigipp.ru/api/getInfo/image/e1825998-19a0-11ee-a23b-00155d82e902")</f>
        <v>https://knigipp.ru/api/getInfo/image/e1825998-19a0-11ee-a23b-00155d82e902</v>
      </c>
      <c r="AA775" s="33">
        <v>192</v>
      </c>
      <c r="AB775" s="5" t="s">
        <v>2259</v>
      </c>
      <c r="AC775" s="5" t="s">
        <v>48</v>
      </c>
      <c r="AD775" s="5"/>
      <c r="AE775" s="5" t="s">
        <v>49</v>
      </c>
      <c r="AF775" s="5"/>
      <c r="AG775" s="5"/>
      <c r="AH775" s="5" t="s">
        <v>3230</v>
      </c>
    </row>
    <row r="776" spans="2:34" ht="22.95" customHeight="1" outlineLevel="3" x14ac:dyDescent="0.2">
      <c r="B776" s="74" t="s">
        <v>3235</v>
      </c>
      <c r="C776" s="74"/>
      <c r="D776" s="74"/>
    </row>
    <row r="777" spans="2:34" ht="21" customHeight="1" outlineLevel="4" x14ac:dyDescent="0.2">
      <c r="B777" s="4">
        <v>576</v>
      </c>
      <c r="C777" s="5" t="s">
        <v>3236</v>
      </c>
      <c r="D777" s="5" t="s">
        <v>3237</v>
      </c>
      <c r="E777" s="6" t="s">
        <v>3238</v>
      </c>
      <c r="F777" s="10"/>
      <c r="G777" s="11" t="s">
        <v>3239</v>
      </c>
      <c r="H777" s="12">
        <v>40</v>
      </c>
      <c r="I777" s="13" t="s">
        <v>41</v>
      </c>
      <c r="J777" s="13"/>
      <c r="K777" s="13"/>
      <c r="L777" s="4">
        <v>15</v>
      </c>
      <c r="M777" s="14">
        <f>41*(1-P3/100)</f>
        <v>41</v>
      </c>
      <c r="N777" s="15"/>
      <c r="O777" s="13">
        <f t="shared" ref="O777:O782" si="23">M777*N777</f>
        <v>0</v>
      </c>
      <c r="P777" s="22">
        <f>0.011*N777</f>
        <v>0</v>
      </c>
      <c r="Q777" s="23">
        <f>0.00009*N777</f>
        <v>0</v>
      </c>
      <c r="R777" s="24"/>
      <c r="S777" s="25" t="s">
        <v>3240</v>
      </c>
      <c r="T777" s="25" t="s">
        <v>94</v>
      </c>
      <c r="U777" s="5"/>
      <c r="V777" s="5" t="s">
        <v>3241</v>
      </c>
      <c r="W777" s="5" t="s">
        <v>46</v>
      </c>
      <c r="X777" s="5"/>
      <c r="Y777" s="5"/>
      <c r="Z777" s="5" t="str">
        <f>HYPERLINK("https://knigipp.ru/api/getInfo/image/cfcca995-6121-11ee-a245-00155d82e902")</f>
        <v>https://knigipp.ru/api/getInfo/image/cfcca995-6121-11ee-a245-00155d82e902</v>
      </c>
      <c r="AA777" s="33">
        <v>24</v>
      </c>
      <c r="AB777" s="5"/>
      <c r="AC777" s="5" t="s">
        <v>96</v>
      </c>
      <c r="AD777" s="5"/>
      <c r="AE777" s="5" t="s">
        <v>49</v>
      </c>
      <c r="AF777" s="5"/>
      <c r="AG777" s="5"/>
      <c r="AH777" s="5" t="s">
        <v>3242</v>
      </c>
    </row>
    <row r="778" spans="2:34" ht="21" customHeight="1" outlineLevel="4" x14ac:dyDescent="0.2">
      <c r="B778" s="4">
        <v>577</v>
      </c>
      <c r="C778" s="5" t="s">
        <v>3236</v>
      </c>
      <c r="D778" s="5" t="s">
        <v>3237</v>
      </c>
      <c r="E778" s="6" t="s">
        <v>3238</v>
      </c>
      <c r="F778" s="10"/>
      <c r="G778" s="11" t="s">
        <v>3239</v>
      </c>
      <c r="H778" s="37">
        <v>1000</v>
      </c>
      <c r="I778" s="13" t="s">
        <v>41</v>
      </c>
      <c r="J778" s="13"/>
      <c r="K778" s="13"/>
      <c r="L778" s="4">
        <v>15</v>
      </c>
      <c r="M778" s="14">
        <f>41*(1-P3/100)</f>
        <v>41</v>
      </c>
      <c r="N778" s="15"/>
      <c r="O778" s="13">
        <f t="shared" si="23"/>
        <v>0</v>
      </c>
      <c r="P778" s="22">
        <f>0.011*N778</f>
        <v>0</v>
      </c>
      <c r="Q778" s="23">
        <f>0.00009*N778</f>
        <v>0</v>
      </c>
      <c r="R778" s="24"/>
      <c r="S778" s="25" t="s">
        <v>3240</v>
      </c>
      <c r="T778" s="25" t="s">
        <v>94</v>
      </c>
      <c r="U778" s="5"/>
      <c r="V778" s="5" t="s">
        <v>3241</v>
      </c>
      <c r="W778" s="5" t="s">
        <v>46</v>
      </c>
      <c r="X778" s="5"/>
      <c r="Y778" s="5"/>
      <c r="Z778" s="5" t="str">
        <f>HYPERLINK("https://knigipp.ru/api/getInfo/image/cfcca995-6121-11ee-a245-00155d82e902")</f>
        <v>https://knigipp.ru/api/getInfo/image/cfcca995-6121-11ee-a245-00155d82e902</v>
      </c>
      <c r="AA778" s="33">
        <v>24</v>
      </c>
      <c r="AB778" s="5"/>
      <c r="AC778" s="5" t="s">
        <v>96</v>
      </c>
      <c r="AD778" s="5"/>
      <c r="AE778" s="5" t="s">
        <v>49</v>
      </c>
      <c r="AF778" s="5"/>
      <c r="AG778" s="5"/>
      <c r="AH778" s="5" t="s">
        <v>3242</v>
      </c>
    </row>
    <row r="779" spans="2:34" ht="21" customHeight="1" outlineLevel="4" x14ac:dyDescent="0.2">
      <c r="B779" s="4">
        <v>578</v>
      </c>
      <c r="C779" s="5" t="s">
        <v>3243</v>
      </c>
      <c r="D779" s="5" t="s">
        <v>3244</v>
      </c>
      <c r="E779" s="6" t="s">
        <v>3245</v>
      </c>
      <c r="F779" s="10"/>
      <c r="G779" s="11" t="s">
        <v>3239</v>
      </c>
      <c r="H779" s="12">
        <v>40</v>
      </c>
      <c r="I779" s="13" t="s">
        <v>41</v>
      </c>
      <c r="J779" s="13"/>
      <c r="K779" s="13"/>
      <c r="L779" s="4">
        <v>15</v>
      </c>
      <c r="M779" s="14">
        <f>41*(1-P3/100)</f>
        <v>41</v>
      </c>
      <c r="N779" s="15"/>
      <c r="O779" s="13">
        <f t="shared" si="23"/>
        <v>0</v>
      </c>
      <c r="P779" s="22">
        <f>0.017*N779</f>
        <v>0</v>
      </c>
      <c r="Q779" s="23">
        <f>0.00001*N779</f>
        <v>0</v>
      </c>
      <c r="R779" s="24"/>
      <c r="S779" s="25" t="s">
        <v>3246</v>
      </c>
      <c r="T779" s="25" t="s">
        <v>94</v>
      </c>
      <c r="U779" s="5"/>
      <c r="V779" s="5" t="s">
        <v>3241</v>
      </c>
      <c r="W779" s="5" t="s">
        <v>46</v>
      </c>
      <c r="X779" s="5"/>
      <c r="Y779" s="5"/>
      <c r="Z779" s="5" t="str">
        <f>HYPERLINK("https://knigipp.ru/api/getInfo/image/0089182c-6122-11ee-a245-00155d82e902")</f>
        <v>https://knigipp.ru/api/getInfo/image/0089182c-6122-11ee-a245-00155d82e902</v>
      </c>
      <c r="AA779" s="33">
        <v>24</v>
      </c>
      <c r="AB779" s="5"/>
      <c r="AC779" s="5" t="s">
        <v>96</v>
      </c>
      <c r="AD779" s="5"/>
      <c r="AE779" s="5" t="s">
        <v>49</v>
      </c>
      <c r="AF779" s="5"/>
      <c r="AG779" s="5"/>
      <c r="AH779" s="5" t="s">
        <v>3242</v>
      </c>
    </row>
    <row r="780" spans="2:34" ht="21" customHeight="1" outlineLevel="4" x14ac:dyDescent="0.2">
      <c r="B780" s="4">
        <v>579</v>
      </c>
      <c r="C780" s="5" t="s">
        <v>3247</v>
      </c>
      <c r="D780" s="5" t="s">
        <v>3248</v>
      </c>
      <c r="E780" s="6" t="s">
        <v>3249</v>
      </c>
      <c r="F780" s="10"/>
      <c r="G780" s="11" t="s">
        <v>3239</v>
      </c>
      <c r="H780" s="12">
        <v>40</v>
      </c>
      <c r="I780" s="13" t="s">
        <v>41</v>
      </c>
      <c r="J780" s="13"/>
      <c r="K780" s="13"/>
      <c r="L780" s="4">
        <v>15</v>
      </c>
      <c r="M780" s="14">
        <f>41*(1-P3/100)</f>
        <v>41</v>
      </c>
      <c r="N780" s="15"/>
      <c r="O780" s="13">
        <f t="shared" si="23"/>
        <v>0</v>
      </c>
      <c r="P780" s="22">
        <f>0.011*N780</f>
        <v>0</v>
      </c>
      <c r="Q780" s="23">
        <f>0.00006*N780</f>
        <v>0</v>
      </c>
      <c r="R780" s="24"/>
      <c r="S780" s="25" t="s">
        <v>3250</v>
      </c>
      <c r="T780" s="25" t="s">
        <v>94</v>
      </c>
      <c r="U780" s="5"/>
      <c r="V780" s="5" t="s">
        <v>3241</v>
      </c>
      <c r="W780" s="5" t="s">
        <v>46</v>
      </c>
      <c r="X780" s="5"/>
      <c r="Y780" s="5"/>
      <c r="Z780" s="5" t="str">
        <f>HYPERLINK("https://knigipp.ru/api/getInfo/image/21b58eb8-6122-11ee-a245-00155d82e902")</f>
        <v>https://knigipp.ru/api/getInfo/image/21b58eb8-6122-11ee-a245-00155d82e902</v>
      </c>
      <c r="AA780" s="33">
        <v>24</v>
      </c>
      <c r="AB780" s="5"/>
      <c r="AC780" s="5" t="s">
        <v>96</v>
      </c>
      <c r="AD780" s="5"/>
      <c r="AE780" s="5" t="s">
        <v>49</v>
      </c>
      <c r="AF780" s="5"/>
      <c r="AG780" s="5"/>
      <c r="AH780" s="5" t="s">
        <v>3242</v>
      </c>
    </row>
    <row r="781" spans="2:34" ht="21" customHeight="1" outlineLevel="4" x14ac:dyDescent="0.2">
      <c r="B781" s="4">
        <v>580</v>
      </c>
      <c r="C781" s="5" t="s">
        <v>3247</v>
      </c>
      <c r="D781" s="5" t="s">
        <v>3248</v>
      </c>
      <c r="E781" s="6" t="s">
        <v>3249</v>
      </c>
      <c r="F781" s="10"/>
      <c r="G781" s="11" t="s">
        <v>3239</v>
      </c>
      <c r="H781" s="37">
        <v>1000</v>
      </c>
      <c r="I781" s="13" t="s">
        <v>41</v>
      </c>
      <c r="J781" s="13"/>
      <c r="K781" s="13"/>
      <c r="L781" s="4">
        <v>15</v>
      </c>
      <c r="M781" s="14">
        <f>41*(1-P3/100)</f>
        <v>41</v>
      </c>
      <c r="N781" s="15"/>
      <c r="O781" s="13">
        <f t="shared" si="23"/>
        <v>0</v>
      </c>
      <c r="P781" s="22">
        <f>0.011*N781</f>
        <v>0</v>
      </c>
      <c r="Q781" s="23">
        <f>0.00006*N781</f>
        <v>0</v>
      </c>
      <c r="R781" s="24"/>
      <c r="S781" s="25" t="s">
        <v>3250</v>
      </c>
      <c r="T781" s="25" t="s">
        <v>94</v>
      </c>
      <c r="U781" s="5"/>
      <c r="V781" s="5" t="s">
        <v>3241</v>
      </c>
      <c r="W781" s="5" t="s">
        <v>46</v>
      </c>
      <c r="X781" s="5"/>
      <c r="Y781" s="5"/>
      <c r="Z781" s="5" t="str">
        <f>HYPERLINK("https://knigipp.ru/api/getInfo/image/21b58eb8-6122-11ee-a245-00155d82e902")</f>
        <v>https://knigipp.ru/api/getInfo/image/21b58eb8-6122-11ee-a245-00155d82e902</v>
      </c>
      <c r="AA781" s="33">
        <v>24</v>
      </c>
      <c r="AB781" s="5"/>
      <c r="AC781" s="5" t="s">
        <v>96</v>
      </c>
      <c r="AD781" s="5"/>
      <c r="AE781" s="5" t="s">
        <v>49</v>
      </c>
      <c r="AF781" s="5"/>
      <c r="AG781" s="5"/>
      <c r="AH781" s="5" t="s">
        <v>3242</v>
      </c>
    </row>
    <row r="782" spans="2:34" ht="21" customHeight="1" outlineLevel="4" x14ac:dyDescent="0.2">
      <c r="B782" s="4">
        <v>581</v>
      </c>
      <c r="C782" s="5" t="s">
        <v>3251</v>
      </c>
      <c r="D782" s="5" t="s">
        <v>3252</v>
      </c>
      <c r="E782" s="6" t="s">
        <v>3253</v>
      </c>
      <c r="F782" s="10"/>
      <c r="G782" s="11" t="s">
        <v>3239</v>
      </c>
      <c r="H782" s="12">
        <v>40</v>
      </c>
      <c r="I782" s="13" t="s">
        <v>371</v>
      </c>
      <c r="J782" s="13"/>
      <c r="K782" s="13"/>
      <c r="L782" s="4">
        <v>15</v>
      </c>
      <c r="M782" s="14">
        <f>41*(1-P3/100)</f>
        <v>41</v>
      </c>
      <c r="N782" s="15"/>
      <c r="O782" s="13">
        <f t="shared" si="23"/>
        <v>0</v>
      </c>
      <c r="P782" s="22">
        <f>0.013*N782</f>
        <v>0</v>
      </c>
      <c r="Q782" s="23">
        <f>0.00003*N782</f>
        <v>0</v>
      </c>
      <c r="R782" s="24"/>
      <c r="S782" s="25" t="s">
        <v>3254</v>
      </c>
      <c r="T782" s="25" t="s">
        <v>94</v>
      </c>
      <c r="U782" s="5"/>
      <c r="V782" s="5"/>
      <c r="W782" s="5" t="s">
        <v>46</v>
      </c>
      <c r="X782" s="5"/>
      <c r="Y782" s="5"/>
      <c r="Z782" s="5" t="str">
        <f>HYPERLINK("https://knigipp.ru/api/getInfo/image/d4a31bd9-f5d9-11ef-a274-00155d82e908")</f>
        <v>https://knigipp.ru/api/getInfo/image/d4a31bd9-f5d9-11ef-a274-00155d82e908</v>
      </c>
      <c r="AA782" s="33">
        <v>24</v>
      </c>
      <c r="AB782" s="5" t="s">
        <v>47</v>
      </c>
      <c r="AC782" s="5" t="s">
        <v>96</v>
      </c>
      <c r="AD782" s="5"/>
      <c r="AE782" s="5" t="s">
        <v>49</v>
      </c>
      <c r="AF782" s="5"/>
      <c r="AG782" s="5"/>
      <c r="AH782" s="5" t="s">
        <v>3242</v>
      </c>
    </row>
    <row r="783" spans="2:34" ht="22.95" customHeight="1" outlineLevel="3" x14ac:dyDescent="0.2">
      <c r="B783" s="74" t="s">
        <v>3255</v>
      </c>
      <c r="C783" s="74"/>
      <c r="D783" s="74"/>
    </row>
    <row r="784" spans="2:34" ht="21" customHeight="1" outlineLevel="4" x14ac:dyDescent="0.2">
      <c r="B784" s="4">
        <v>582</v>
      </c>
      <c r="C784" s="5" t="s">
        <v>3256</v>
      </c>
      <c r="D784" s="5" t="s">
        <v>3257</v>
      </c>
      <c r="E784" s="6" t="s">
        <v>3258</v>
      </c>
      <c r="F784" s="10"/>
      <c r="G784" s="11" t="s">
        <v>3239</v>
      </c>
      <c r="H784" s="12">
        <v>40</v>
      </c>
      <c r="I784" s="13" t="s">
        <v>41</v>
      </c>
      <c r="J784" s="13"/>
      <c r="K784" s="13"/>
      <c r="L784" s="4">
        <v>7</v>
      </c>
      <c r="M784" s="14">
        <f>97*(1-P3/100)</f>
        <v>97</v>
      </c>
      <c r="N784" s="15"/>
      <c r="O784" s="13">
        <f>M784*N784</f>
        <v>0</v>
      </c>
      <c r="P784" s="22">
        <f>0.046*N784</f>
        <v>0</v>
      </c>
      <c r="Q784" s="23">
        <f>0.00008*N784</f>
        <v>0</v>
      </c>
      <c r="R784" s="24"/>
      <c r="S784" s="25" t="s">
        <v>3259</v>
      </c>
      <c r="T784" s="25" t="s">
        <v>94</v>
      </c>
      <c r="U784" s="5"/>
      <c r="V784" s="5"/>
      <c r="W784" s="5" t="s">
        <v>46</v>
      </c>
      <c r="X784" s="5"/>
      <c r="Y784" s="5"/>
      <c r="Z784" s="5" t="str">
        <f>HYPERLINK("https://knigipp.ru/api/getInfo/image/600efd5e-5fbe-11ef-a262-00155d82e908")</f>
        <v>https://knigipp.ru/api/getInfo/image/600efd5e-5fbe-11ef-a262-00155d82e908</v>
      </c>
      <c r="AA784" s="33">
        <v>24</v>
      </c>
      <c r="AB784" s="5" t="s">
        <v>2259</v>
      </c>
      <c r="AC784" s="5" t="s">
        <v>86</v>
      </c>
      <c r="AD784" s="5"/>
      <c r="AE784" s="5" t="s">
        <v>49</v>
      </c>
      <c r="AF784" s="5"/>
      <c r="AG784" s="5"/>
      <c r="AH784" s="5" t="s">
        <v>3260</v>
      </c>
    </row>
    <row r="785" spans="2:34" ht="21" customHeight="1" outlineLevel="4" x14ac:dyDescent="0.2">
      <c r="B785" s="4">
        <v>583</v>
      </c>
      <c r="C785" s="5" t="s">
        <v>3261</v>
      </c>
      <c r="D785" s="5" t="s">
        <v>3262</v>
      </c>
      <c r="E785" s="6" t="s">
        <v>3263</v>
      </c>
      <c r="F785" s="10"/>
      <c r="G785" s="11" t="s">
        <v>3239</v>
      </c>
      <c r="H785" s="12">
        <v>40</v>
      </c>
      <c r="I785" s="13" t="s">
        <v>41</v>
      </c>
      <c r="J785" s="13"/>
      <c r="K785" s="13"/>
      <c r="L785" s="4">
        <v>7</v>
      </c>
      <c r="M785" s="14">
        <f>97*(1-P3/100)</f>
        <v>97</v>
      </c>
      <c r="N785" s="15"/>
      <c r="O785" s="13">
        <f>M785*N785</f>
        <v>0</v>
      </c>
      <c r="P785" s="22">
        <f>0.046*N785</f>
        <v>0</v>
      </c>
      <c r="Q785" s="23">
        <f>0.00011*N785</f>
        <v>0</v>
      </c>
      <c r="R785" s="24"/>
      <c r="S785" s="25" t="s">
        <v>3264</v>
      </c>
      <c r="T785" s="25" t="s">
        <v>94</v>
      </c>
      <c r="U785" s="5"/>
      <c r="V785" s="5"/>
      <c r="W785" s="5" t="s">
        <v>46</v>
      </c>
      <c r="X785" s="5"/>
      <c r="Y785" s="5"/>
      <c r="Z785" s="5" t="str">
        <f>HYPERLINK("https://knigipp.ru/api/getInfo/image/879a4eb9-5fbe-11ef-a262-00155d82e908")</f>
        <v>https://knigipp.ru/api/getInfo/image/879a4eb9-5fbe-11ef-a262-00155d82e908</v>
      </c>
      <c r="AA785" s="33">
        <v>24</v>
      </c>
      <c r="AB785" s="5" t="s">
        <v>2259</v>
      </c>
      <c r="AC785" s="5" t="s">
        <v>86</v>
      </c>
      <c r="AD785" s="5"/>
      <c r="AE785" s="5" t="s">
        <v>49</v>
      </c>
      <c r="AF785" s="5"/>
      <c r="AG785" s="5"/>
      <c r="AH785" s="5" t="s">
        <v>3260</v>
      </c>
    </row>
    <row r="786" spans="2:34" ht="21" customHeight="1" outlineLevel="4" x14ac:dyDescent="0.2">
      <c r="B786" s="4">
        <v>584</v>
      </c>
      <c r="C786" s="5" t="s">
        <v>3265</v>
      </c>
      <c r="D786" s="5" t="s">
        <v>3266</v>
      </c>
      <c r="E786" s="6" t="s">
        <v>3267</v>
      </c>
      <c r="F786" s="10"/>
      <c r="G786" s="11" t="s">
        <v>3239</v>
      </c>
      <c r="H786" s="12">
        <v>40</v>
      </c>
      <c r="I786" s="13" t="s">
        <v>41</v>
      </c>
      <c r="J786" s="13"/>
      <c r="K786" s="13"/>
      <c r="L786" s="4">
        <v>7</v>
      </c>
      <c r="M786" s="14">
        <f>97*(1-P3/100)</f>
        <v>97</v>
      </c>
      <c r="N786" s="15"/>
      <c r="O786" s="13">
        <f>M786*N786</f>
        <v>0</v>
      </c>
      <c r="P786" s="22">
        <f>0.046*N786</f>
        <v>0</v>
      </c>
      <c r="Q786" s="23">
        <f>0.00008*N786</f>
        <v>0</v>
      </c>
      <c r="R786" s="24"/>
      <c r="S786" s="25" t="s">
        <v>3268</v>
      </c>
      <c r="T786" s="25" t="s">
        <v>94</v>
      </c>
      <c r="U786" s="5"/>
      <c r="V786" s="5"/>
      <c r="W786" s="5" t="s">
        <v>46</v>
      </c>
      <c r="X786" s="5"/>
      <c r="Y786" s="5"/>
      <c r="Z786" s="5" t="str">
        <f>HYPERLINK("https://knigipp.ru/api/getInfo/image/1e6b23e0-5fbe-11ef-a262-00155d82e908")</f>
        <v>https://knigipp.ru/api/getInfo/image/1e6b23e0-5fbe-11ef-a262-00155d82e908</v>
      </c>
      <c r="AA786" s="33">
        <v>24</v>
      </c>
      <c r="AB786" s="5" t="s">
        <v>2259</v>
      </c>
      <c r="AC786" s="5" t="s">
        <v>86</v>
      </c>
      <c r="AD786" s="5"/>
      <c r="AE786" s="5" t="s">
        <v>49</v>
      </c>
      <c r="AF786" s="5"/>
      <c r="AG786" s="5"/>
      <c r="AH786" s="5" t="s">
        <v>3260</v>
      </c>
    </row>
    <row r="787" spans="2:34" ht="21" customHeight="1" outlineLevel="4" x14ac:dyDescent="0.2">
      <c r="B787" s="4">
        <v>585</v>
      </c>
      <c r="C787" s="5" t="s">
        <v>3269</v>
      </c>
      <c r="D787" s="5" t="s">
        <v>3270</v>
      </c>
      <c r="E787" s="6" t="s">
        <v>3271</v>
      </c>
      <c r="F787" s="10"/>
      <c r="G787" s="11" t="s">
        <v>3239</v>
      </c>
      <c r="H787" s="12">
        <v>40</v>
      </c>
      <c r="I787" s="13" t="s">
        <v>41</v>
      </c>
      <c r="J787" s="13"/>
      <c r="K787" s="13"/>
      <c r="L787" s="4">
        <v>7</v>
      </c>
      <c r="M787" s="14">
        <f>97*(1-P3/100)</f>
        <v>97</v>
      </c>
      <c r="N787" s="15"/>
      <c r="O787" s="13">
        <f>M787*N787</f>
        <v>0</v>
      </c>
      <c r="P787" s="22">
        <f>0.046*N787</f>
        <v>0</v>
      </c>
      <c r="Q787" s="23">
        <f>0.00008*N787</f>
        <v>0</v>
      </c>
      <c r="R787" s="24"/>
      <c r="S787" s="25" t="s">
        <v>3272</v>
      </c>
      <c r="T787" s="25" t="s">
        <v>94</v>
      </c>
      <c r="U787" s="5"/>
      <c r="V787" s="5"/>
      <c r="W787" s="5" t="s">
        <v>46</v>
      </c>
      <c r="X787" s="5"/>
      <c r="Y787" s="5"/>
      <c r="Z787" s="5" t="str">
        <f>HYPERLINK("https://knigipp.ru/api/getInfo/image/d30cb829-5fbe-11ef-a262-00155d82e908")</f>
        <v>https://knigipp.ru/api/getInfo/image/d30cb829-5fbe-11ef-a262-00155d82e908</v>
      </c>
      <c r="AA787" s="33">
        <v>24</v>
      </c>
      <c r="AB787" s="5" t="s">
        <v>2259</v>
      </c>
      <c r="AC787" s="5" t="s">
        <v>86</v>
      </c>
      <c r="AD787" s="5"/>
      <c r="AE787" s="5" t="s">
        <v>49</v>
      </c>
      <c r="AF787" s="5"/>
      <c r="AG787" s="5"/>
      <c r="AH787" s="5" t="s">
        <v>3260</v>
      </c>
    </row>
    <row r="788" spans="2:34" ht="22.95" customHeight="1" outlineLevel="2" x14ac:dyDescent="0.2">
      <c r="B788" s="73" t="s">
        <v>3273</v>
      </c>
      <c r="C788" s="73"/>
      <c r="D788" s="73"/>
    </row>
    <row r="789" spans="2:34" ht="22.95" customHeight="1" outlineLevel="3" x14ac:dyDescent="0.2">
      <c r="B789" s="74" t="s">
        <v>3274</v>
      </c>
      <c r="C789" s="74"/>
      <c r="D789" s="74"/>
    </row>
    <row r="790" spans="2:34" ht="21" customHeight="1" outlineLevel="4" x14ac:dyDescent="0.2">
      <c r="B790" s="4">
        <v>586</v>
      </c>
      <c r="C790" s="5" t="s">
        <v>3275</v>
      </c>
      <c r="D790" s="5" t="s">
        <v>3276</v>
      </c>
      <c r="E790" s="6" t="s">
        <v>3277</v>
      </c>
      <c r="F790" s="10"/>
      <c r="G790" s="11" t="s">
        <v>3278</v>
      </c>
      <c r="H790" s="12">
        <v>30</v>
      </c>
      <c r="I790" s="13" t="s">
        <v>41</v>
      </c>
      <c r="J790" s="13"/>
      <c r="K790" s="13"/>
      <c r="L790" s="4">
        <v>4</v>
      </c>
      <c r="M790" s="14">
        <f>179*(1-P3/100)</f>
        <v>179</v>
      </c>
      <c r="N790" s="15"/>
      <c r="O790" s="13">
        <f>M790*N790</f>
        <v>0</v>
      </c>
      <c r="P790" s="22">
        <f>0.059*N790</f>
        <v>0</v>
      </c>
      <c r="Q790" s="23">
        <f>0.00011*N790</f>
        <v>0</v>
      </c>
      <c r="R790" s="24"/>
      <c r="S790" s="25" t="s">
        <v>3279</v>
      </c>
      <c r="T790" s="25" t="s">
        <v>94</v>
      </c>
      <c r="U790" s="5"/>
      <c r="V790" s="5"/>
      <c r="W790" s="5" t="s">
        <v>46</v>
      </c>
      <c r="X790" s="5"/>
      <c r="Y790" s="5"/>
      <c r="Z790" s="5" t="str">
        <f>HYPERLINK("https://knigipp.ru/api/getInfo/image/accb4567-7310-11ee-a248-00155d82e902")</f>
        <v>https://knigipp.ru/api/getInfo/image/accb4567-7310-11ee-a248-00155d82e902</v>
      </c>
      <c r="AA790" s="33">
        <v>8</v>
      </c>
      <c r="AB790" s="5"/>
      <c r="AC790" s="5" t="s">
        <v>96</v>
      </c>
      <c r="AD790" s="5"/>
      <c r="AE790" s="5" t="s">
        <v>49</v>
      </c>
      <c r="AF790" s="5"/>
      <c r="AG790" s="5"/>
      <c r="AH790" s="5" t="s">
        <v>3280</v>
      </c>
    </row>
    <row r="791" spans="2:34" ht="21" customHeight="1" outlineLevel="4" x14ac:dyDescent="0.2">
      <c r="B791" s="4">
        <v>587</v>
      </c>
      <c r="C791" s="5" t="s">
        <v>3281</v>
      </c>
      <c r="D791" s="5" t="s">
        <v>3282</v>
      </c>
      <c r="E791" s="6" t="s">
        <v>3283</v>
      </c>
      <c r="F791" s="10"/>
      <c r="G791" s="11" t="s">
        <v>3278</v>
      </c>
      <c r="H791" s="12">
        <v>30</v>
      </c>
      <c r="I791" s="13" t="s">
        <v>261</v>
      </c>
      <c r="J791" s="13"/>
      <c r="K791" s="13"/>
      <c r="L791" s="4">
        <v>4</v>
      </c>
      <c r="M791" s="14">
        <f>179*(1-P3/100)</f>
        <v>179</v>
      </c>
      <c r="N791" s="15"/>
      <c r="O791" s="13">
        <f>M791*N791</f>
        <v>0</v>
      </c>
      <c r="P791" s="13">
        <v>0</v>
      </c>
      <c r="Q791" s="13">
        <v>0</v>
      </c>
      <c r="R791" s="24"/>
      <c r="S791" s="25" t="s">
        <v>3284</v>
      </c>
      <c r="T791" s="25" t="s">
        <v>94</v>
      </c>
      <c r="U791" s="5"/>
      <c r="V791" s="5"/>
      <c r="W791" s="5" t="s">
        <v>46</v>
      </c>
      <c r="X791" s="5"/>
      <c r="Y791" s="5"/>
      <c r="Z791" s="5" t="str">
        <f>HYPERLINK("https://knigipp.ru/api/getInfo/image/36287e61-1102-11ee-a23b-00155d82e902")</f>
        <v>https://knigipp.ru/api/getInfo/image/36287e61-1102-11ee-a23b-00155d82e902</v>
      </c>
      <c r="AA791" s="33">
        <v>8</v>
      </c>
      <c r="AB791" s="5"/>
      <c r="AC791" s="5" t="s">
        <v>96</v>
      </c>
      <c r="AD791" s="5"/>
      <c r="AE791" s="5" t="s">
        <v>49</v>
      </c>
      <c r="AF791" s="5"/>
      <c r="AG791" s="5"/>
      <c r="AH791" s="5" t="s">
        <v>3280</v>
      </c>
    </row>
    <row r="792" spans="2:34" ht="21" customHeight="1" outlineLevel="4" x14ac:dyDescent="0.2">
      <c r="B792" s="4">
        <v>588</v>
      </c>
      <c r="C792" s="5" t="s">
        <v>3285</v>
      </c>
      <c r="D792" s="5" t="s">
        <v>3286</v>
      </c>
      <c r="E792" s="6" t="s">
        <v>3287</v>
      </c>
      <c r="F792" s="10"/>
      <c r="G792" s="11" t="s">
        <v>3278</v>
      </c>
      <c r="H792" s="12">
        <v>30</v>
      </c>
      <c r="I792" s="13" t="s">
        <v>41</v>
      </c>
      <c r="J792" s="13"/>
      <c r="K792" s="13"/>
      <c r="L792" s="4">
        <v>4</v>
      </c>
      <c r="M792" s="14">
        <f>179*(1-P3/100)</f>
        <v>179</v>
      </c>
      <c r="N792" s="15"/>
      <c r="O792" s="13">
        <f>M792*N792</f>
        <v>0</v>
      </c>
      <c r="P792" s="22">
        <f>0.058*N792</f>
        <v>0</v>
      </c>
      <c r="Q792" s="23">
        <f>0.00032*N792</f>
        <v>0</v>
      </c>
      <c r="R792" s="24"/>
      <c r="S792" s="25" t="s">
        <v>3288</v>
      </c>
      <c r="T792" s="25" t="s">
        <v>94</v>
      </c>
      <c r="U792" s="5"/>
      <c r="V792" s="5"/>
      <c r="W792" s="5" t="s">
        <v>46</v>
      </c>
      <c r="X792" s="5"/>
      <c r="Y792" s="5"/>
      <c r="Z792" s="5" t="str">
        <f>HYPERLINK("https://knigipp.ru/api/getInfo/image/e32577d3-7310-11ee-a248-00155d82e902")</f>
        <v>https://knigipp.ru/api/getInfo/image/e32577d3-7310-11ee-a248-00155d82e902</v>
      </c>
      <c r="AA792" s="33">
        <v>8</v>
      </c>
      <c r="AB792" s="5" t="s">
        <v>47</v>
      </c>
      <c r="AC792" s="5" t="s">
        <v>96</v>
      </c>
      <c r="AD792" s="5"/>
      <c r="AE792" s="5" t="s">
        <v>49</v>
      </c>
      <c r="AF792" s="5"/>
      <c r="AG792" s="5"/>
      <c r="AH792" s="5" t="s">
        <v>3280</v>
      </c>
    </row>
    <row r="793" spans="2:34" ht="22.95" customHeight="1" outlineLevel="3" x14ac:dyDescent="0.2">
      <c r="B793" s="74" t="s">
        <v>3289</v>
      </c>
      <c r="C793" s="74"/>
      <c r="D793" s="74"/>
    </row>
    <row r="794" spans="2:34" ht="21" customHeight="1" outlineLevel="4" x14ac:dyDescent="0.2">
      <c r="B794" s="4">
        <v>589</v>
      </c>
      <c r="C794" s="5" t="s">
        <v>3290</v>
      </c>
      <c r="D794" s="5" t="s">
        <v>3291</v>
      </c>
      <c r="E794" s="6" t="s">
        <v>3292</v>
      </c>
      <c r="F794" s="10"/>
      <c r="G794" s="11" t="s">
        <v>3293</v>
      </c>
      <c r="H794" s="12">
        <v>50</v>
      </c>
      <c r="I794" s="13" t="s">
        <v>41</v>
      </c>
      <c r="J794" s="13"/>
      <c r="K794" s="13"/>
      <c r="L794" s="4">
        <v>5</v>
      </c>
      <c r="M794" s="14">
        <f>119.7*(1-P3/100)</f>
        <v>119.7</v>
      </c>
      <c r="N794" s="15"/>
      <c r="O794" s="13">
        <f>M794*N794</f>
        <v>0</v>
      </c>
      <c r="P794" s="22">
        <f>0.057*N794</f>
        <v>0</v>
      </c>
      <c r="Q794" s="23">
        <f>0.00028*N794</f>
        <v>0</v>
      </c>
      <c r="R794" s="24"/>
      <c r="S794" s="25" t="s">
        <v>3294</v>
      </c>
      <c r="T794" s="25" t="s">
        <v>94</v>
      </c>
      <c r="U794" s="5"/>
      <c r="V794" s="5"/>
      <c r="W794" s="5" t="s">
        <v>46</v>
      </c>
      <c r="X794" s="5" t="s">
        <v>3295</v>
      </c>
      <c r="Y794" s="5"/>
      <c r="Z794" s="5" t="str">
        <f>HYPERLINK("https://knigipp.ru/api/getInfo/image/cb84c221-7fc4-11ef-a265-00155d82e908")</f>
        <v>https://knigipp.ru/api/getInfo/image/cb84c221-7fc4-11ef-a265-00155d82e908</v>
      </c>
      <c r="AA794" s="33">
        <v>8</v>
      </c>
      <c r="AB794" s="5" t="s">
        <v>47</v>
      </c>
      <c r="AC794" s="5" t="s">
        <v>96</v>
      </c>
      <c r="AD794" s="5"/>
      <c r="AE794" s="5" t="s">
        <v>49</v>
      </c>
      <c r="AF794" s="5"/>
      <c r="AG794" s="5"/>
      <c r="AH794" s="5" t="s">
        <v>472</v>
      </c>
    </row>
    <row r="795" spans="2:34" ht="21" customHeight="1" outlineLevel="4" x14ac:dyDescent="0.2">
      <c r="B795" s="4">
        <v>590</v>
      </c>
      <c r="C795" s="5" t="s">
        <v>3296</v>
      </c>
      <c r="D795" s="5" t="s">
        <v>3297</v>
      </c>
      <c r="E795" s="6" t="s">
        <v>3298</v>
      </c>
      <c r="F795" s="10"/>
      <c r="G795" s="11" t="s">
        <v>3293</v>
      </c>
      <c r="H795" s="12">
        <v>50</v>
      </c>
      <c r="I795" s="13" t="s">
        <v>371</v>
      </c>
      <c r="J795" s="13"/>
      <c r="K795" s="13"/>
      <c r="L795" s="4">
        <v>5</v>
      </c>
      <c r="M795" s="14">
        <f>119.7*(1-P3/100)</f>
        <v>119.7</v>
      </c>
      <c r="N795" s="15"/>
      <c r="O795" s="13">
        <f>M795*N795</f>
        <v>0</v>
      </c>
      <c r="P795" s="22">
        <f>0.056*N795</f>
        <v>0</v>
      </c>
      <c r="Q795" s="23">
        <f>0.00017*N795</f>
        <v>0</v>
      </c>
      <c r="R795" s="24"/>
      <c r="S795" s="25" t="s">
        <v>3299</v>
      </c>
      <c r="T795" s="25" t="s">
        <v>94</v>
      </c>
      <c r="U795" s="5"/>
      <c r="V795" s="5"/>
      <c r="W795" s="5" t="s">
        <v>46</v>
      </c>
      <c r="X795" s="5" t="s">
        <v>3295</v>
      </c>
      <c r="Y795" s="5"/>
      <c r="Z795" s="5" t="str">
        <f>HYPERLINK("https://knigipp.ru/api/getInfo/image/6232dcb8-7fc4-11ef-a265-00155d82e908")</f>
        <v>https://knigipp.ru/api/getInfo/image/6232dcb8-7fc4-11ef-a265-00155d82e908</v>
      </c>
      <c r="AA795" s="33">
        <v>8</v>
      </c>
      <c r="AB795" s="5" t="s">
        <v>47</v>
      </c>
      <c r="AC795" s="5" t="s">
        <v>96</v>
      </c>
      <c r="AD795" s="5"/>
      <c r="AE795" s="5" t="s">
        <v>49</v>
      </c>
      <c r="AF795" s="5"/>
      <c r="AG795" s="5"/>
      <c r="AH795" s="5" t="s">
        <v>472</v>
      </c>
    </row>
    <row r="796" spans="2:34" ht="21" customHeight="1" outlineLevel="4" x14ac:dyDescent="0.2">
      <c r="B796" s="4">
        <v>591</v>
      </c>
      <c r="C796" s="5" t="s">
        <v>3300</v>
      </c>
      <c r="D796" s="5" t="s">
        <v>3301</v>
      </c>
      <c r="E796" s="6" t="s">
        <v>3302</v>
      </c>
      <c r="F796" s="10"/>
      <c r="G796" s="11" t="s">
        <v>3293</v>
      </c>
      <c r="H796" s="12">
        <v>50</v>
      </c>
      <c r="I796" s="13" t="s">
        <v>261</v>
      </c>
      <c r="J796" s="13"/>
      <c r="K796" s="13"/>
      <c r="L796" s="4">
        <v>5</v>
      </c>
      <c r="M796" s="14">
        <f>119.7*(1-P3/100)</f>
        <v>119.7</v>
      </c>
      <c r="N796" s="15"/>
      <c r="O796" s="13">
        <f>M796*N796</f>
        <v>0</v>
      </c>
      <c r="P796" s="22">
        <f>0.055*N796</f>
        <v>0</v>
      </c>
      <c r="Q796" s="23">
        <f>0.00022*N796</f>
        <v>0</v>
      </c>
      <c r="R796" s="24"/>
      <c r="S796" s="25" t="s">
        <v>3303</v>
      </c>
      <c r="T796" s="25" t="s">
        <v>94</v>
      </c>
      <c r="U796" s="5"/>
      <c r="V796" s="5"/>
      <c r="W796" s="5" t="s">
        <v>46</v>
      </c>
      <c r="X796" s="5" t="s">
        <v>3295</v>
      </c>
      <c r="Y796" s="5"/>
      <c r="Z796" s="5" t="str">
        <f>HYPERLINK("https://knigipp.ru/api/getInfo/image/9df19ace-7fc4-11ef-a265-00155d82e908")</f>
        <v>https://knigipp.ru/api/getInfo/image/9df19ace-7fc4-11ef-a265-00155d82e908</v>
      </c>
      <c r="AA796" s="33">
        <v>8</v>
      </c>
      <c r="AB796" s="5" t="s">
        <v>47</v>
      </c>
      <c r="AC796" s="5" t="s">
        <v>96</v>
      </c>
      <c r="AD796" s="5"/>
      <c r="AE796" s="5" t="s">
        <v>49</v>
      </c>
      <c r="AF796" s="5"/>
      <c r="AG796" s="5"/>
      <c r="AH796" s="5" t="s">
        <v>472</v>
      </c>
    </row>
    <row r="797" spans="2:34" ht="21" customHeight="1" outlineLevel="4" x14ac:dyDescent="0.2">
      <c r="B797" s="4">
        <v>592</v>
      </c>
      <c r="C797" s="5" t="s">
        <v>3304</v>
      </c>
      <c r="D797" s="5" t="s">
        <v>3305</v>
      </c>
      <c r="E797" s="6" t="s">
        <v>3306</v>
      </c>
      <c r="F797" s="10"/>
      <c r="G797" s="11" t="s">
        <v>3293</v>
      </c>
      <c r="H797" s="12">
        <v>50</v>
      </c>
      <c r="I797" s="13" t="s">
        <v>41</v>
      </c>
      <c r="J797" s="13"/>
      <c r="K797" s="13"/>
      <c r="L797" s="4">
        <v>5</v>
      </c>
      <c r="M797" s="14">
        <f>119.7*(1-P3/100)</f>
        <v>119.7</v>
      </c>
      <c r="N797" s="15"/>
      <c r="O797" s="13">
        <f>M797*N797</f>
        <v>0</v>
      </c>
      <c r="P797" s="22">
        <f>0.059*N797</f>
        <v>0</v>
      </c>
      <c r="Q797" s="23">
        <f>0.00023*N797</f>
        <v>0</v>
      </c>
      <c r="R797" s="24"/>
      <c r="S797" s="25" t="s">
        <v>3307</v>
      </c>
      <c r="T797" s="25" t="s">
        <v>94</v>
      </c>
      <c r="U797" s="5"/>
      <c r="V797" s="5"/>
      <c r="W797" s="5" t="s">
        <v>46</v>
      </c>
      <c r="X797" s="5" t="s">
        <v>3295</v>
      </c>
      <c r="Y797" s="5"/>
      <c r="Z797" s="5" t="str">
        <f>HYPERLINK("https://knigipp.ru/api/getInfo/image/f704c6e2-7fcd-11ef-a265-00155d82e908")</f>
        <v>https://knigipp.ru/api/getInfo/image/f704c6e2-7fcd-11ef-a265-00155d82e908</v>
      </c>
      <c r="AA797" s="33">
        <v>8</v>
      </c>
      <c r="AB797" s="5" t="s">
        <v>47</v>
      </c>
      <c r="AC797" s="5" t="s">
        <v>96</v>
      </c>
      <c r="AD797" s="5"/>
      <c r="AE797" s="5" t="s">
        <v>49</v>
      </c>
      <c r="AF797" s="5"/>
      <c r="AG797" s="5"/>
      <c r="AH797" s="5" t="s">
        <v>472</v>
      </c>
    </row>
    <row r="798" spans="2:34" ht="22.95" customHeight="1" outlineLevel="3" x14ac:dyDescent="0.2">
      <c r="B798" s="74" t="s">
        <v>3308</v>
      </c>
      <c r="C798" s="74"/>
      <c r="D798" s="74"/>
    </row>
    <row r="799" spans="2:34" ht="21" customHeight="1" outlineLevel="4" x14ac:dyDescent="0.2">
      <c r="B799" s="4">
        <v>593</v>
      </c>
      <c r="C799" s="5" t="s">
        <v>3309</v>
      </c>
      <c r="D799" s="5" t="s">
        <v>3310</v>
      </c>
      <c r="E799" s="6" t="s">
        <v>3311</v>
      </c>
      <c r="F799" s="10"/>
      <c r="G799" s="11" t="s">
        <v>3312</v>
      </c>
      <c r="H799" s="12">
        <v>50</v>
      </c>
      <c r="I799" s="13" t="s">
        <v>261</v>
      </c>
      <c r="J799" s="13"/>
      <c r="K799" s="13"/>
      <c r="L799" s="4">
        <v>5</v>
      </c>
      <c r="M799" s="14">
        <f>127*(1-P3/100)</f>
        <v>127</v>
      </c>
      <c r="N799" s="15"/>
      <c r="O799" s="13">
        <f>M799*N799</f>
        <v>0</v>
      </c>
      <c r="P799" s="22">
        <f>0.041*N799</f>
        <v>0</v>
      </c>
      <c r="Q799" s="30">
        <f>0.0001*N799</f>
        <v>0</v>
      </c>
      <c r="R799" s="24"/>
      <c r="S799" s="25" t="s">
        <v>3313</v>
      </c>
      <c r="T799" s="25" t="s">
        <v>94</v>
      </c>
      <c r="U799" s="5"/>
      <c r="V799" s="5"/>
      <c r="W799" s="5" t="s">
        <v>46</v>
      </c>
      <c r="X799" s="5"/>
      <c r="Y799" s="5"/>
      <c r="Z799" s="5" t="str">
        <f>HYPERLINK("https://knigipp.ru/api/getInfo/image/57dbdf4a-ccc4-11ee-a25a-00155d82e908")</f>
        <v>https://knigipp.ru/api/getInfo/image/57dbdf4a-ccc4-11ee-a25a-00155d82e908</v>
      </c>
      <c r="AA799" s="33">
        <v>8</v>
      </c>
      <c r="AB799" s="5"/>
      <c r="AC799" s="5" t="s">
        <v>96</v>
      </c>
      <c r="AD799" s="5"/>
      <c r="AE799" s="5" t="s">
        <v>49</v>
      </c>
      <c r="AF799" s="5"/>
      <c r="AG799" s="5"/>
      <c r="AH799" s="5" t="s">
        <v>3314</v>
      </c>
    </row>
    <row r="800" spans="2:34" ht="21" customHeight="1" outlineLevel="4" x14ac:dyDescent="0.2">
      <c r="B800" s="4">
        <v>594</v>
      </c>
      <c r="C800" s="5" t="s">
        <v>3315</v>
      </c>
      <c r="D800" s="5" t="s">
        <v>3316</v>
      </c>
      <c r="E800" s="6" t="s">
        <v>3317</v>
      </c>
      <c r="F800" s="10"/>
      <c r="G800" s="11" t="s">
        <v>3312</v>
      </c>
      <c r="H800" s="12">
        <v>50</v>
      </c>
      <c r="I800" s="13" t="s">
        <v>41</v>
      </c>
      <c r="J800" s="13"/>
      <c r="K800" s="13"/>
      <c r="L800" s="4">
        <v>5</v>
      </c>
      <c r="M800" s="14">
        <f>127*(1-P3/100)</f>
        <v>127</v>
      </c>
      <c r="N800" s="15"/>
      <c r="O800" s="13">
        <f>M800*N800</f>
        <v>0</v>
      </c>
      <c r="P800" s="22">
        <f>0.038*N800</f>
        <v>0</v>
      </c>
      <c r="Q800" s="23">
        <f>0.00012*N800</f>
        <v>0</v>
      </c>
      <c r="R800" s="24"/>
      <c r="S800" s="25" t="s">
        <v>3318</v>
      </c>
      <c r="T800" s="25" t="s">
        <v>94</v>
      </c>
      <c r="U800" s="5"/>
      <c r="V800" s="5"/>
      <c r="W800" s="5" t="s">
        <v>46</v>
      </c>
      <c r="X800" s="5"/>
      <c r="Y800" s="5"/>
      <c r="Z800" s="5" t="str">
        <f>HYPERLINK("https://knigipp.ru/api/getInfo/image/74bfa9f6-ccc4-11ee-a25a-00155d82e908")</f>
        <v>https://knigipp.ru/api/getInfo/image/74bfa9f6-ccc4-11ee-a25a-00155d82e908</v>
      </c>
      <c r="AA800" s="33">
        <v>8</v>
      </c>
      <c r="AB800" s="5"/>
      <c r="AC800" s="5" t="s">
        <v>96</v>
      </c>
      <c r="AD800" s="5"/>
      <c r="AE800" s="5" t="s">
        <v>49</v>
      </c>
      <c r="AF800" s="5"/>
      <c r="AG800" s="5"/>
      <c r="AH800" s="5" t="s">
        <v>3314</v>
      </c>
    </row>
    <row r="801" spans="2:34" ht="21" customHeight="1" outlineLevel="4" x14ac:dyDescent="0.2">
      <c r="B801" s="4">
        <v>595</v>
      </c>
      <c r="C801" s="5" t="s">
        <v>3319</v>
      </c>
      <c r="D801" s="5" t="s">
        <v>3320</v>
      </c>
      <c r="E801" s="6" t="s">
        <v>3321</v>
      </c>
      <c r="F801" s="10"/>
      <c r="G801" s="11" t="s">
        <v>3312</v>
      </c>
      <c r="H801" s="12">
        <v>50</v>
      </c>
      <c r="I801" s="13" t="s">
        <v>261</v>
      </c>
      <c r="J801" s="13"/>
      <c r="K801" s="13"/>
      <c r="L801" s="4">
        <v>5</v>
      </c>
      <c r="M801" s="14">
        <f>127*(1-P3/100)</f>
        <v>127</v>
      </c>
      <c r="N801" s="15"/>
      <c r="O801" s="13">
        <f>M801*N801</f>
        <v>0</v>
      </c>
      <c r="P801" s="22">
        <f>0.047*N801</f>
        <v>0</v>
      </c>
      <c r="Q801" s="23">
        <f>0.00013*N801</f>
        <v>0</v>
      </c>
      <c r="R801" s="24"/>
      <c r="S801" s="25" t="s">
        <v>3322</v>
      </c>
      <c r="T801" s="25" t="s">
        <v>94</v>
      </c>
      <c r="U801" s="5"/>
      <c r="V801" s="5"/>
      <c r="W801" s="5" t="s">
        <v>46</v>
      </c>
      <c r="X801" s="5"/>
      <c r="Y801" s="5"/>
      <c r="Z801" s="5" t="str">
        <f>HYPERLINK("https://knigipp.ru/api/getInfo/image/0f5aded6-ccc4-11ee-a25a-00155d82e908")</f>
        <v>https://knigipp.ru/api/getInfo/image/0f5aded6-ccc4-11ee-a25a-00155d82e908</v>
      </c>
      <c r="AA801" s="33">
        <v>8</v>
      </c>
      <c r="AB801" s="5"/>
      <c r="AC801" s="5" t="s">
        <v>96</v>
      </c>
      <c r="AD801" s="5"/>
      <c r="AE801" s="5" t="s">
        <v>49</v>
      </c>
      <c r="AF801" s="5"/>
      <c r="AG801" s="5"/>
      <c r="AH801" s="5" t="s">
        <v>3314</v>
      </c>
    </row>
    <row r="802" spans="2:34" ht="22.95" customHeight="1" outlineLevel="3" x14ac:dyDescent="0.2">
      <c r="B802" s="74" t="s">
        <v>3323</v>
      </c>
      <c r="C802" s="74"/>
      <c r="D802" s="74"/>
    </row>
    <row r="803" spans="2:34" ht="21" customHeight="1" outlineLevel="4" x14ac:dyDescent="0.2">
      <c r="B803" s="7">
        <v>596</v>
      </c>
      <c r="C803" s="8" t="s">
        <v>3324</v>
      </c>
      <c r="D803" s="8" t="s">
        <v>3325</v>
      </c>
      <c r="E803" s="9" t="s">
        <v>3326</v>
      </c>
      <c r="F803" s="16"/>
      <c r="G803" s="17"/>
      <c r="H803" s="18">
        <v>50</v>
      </c>
      <c r="I803" s="19" t="s">
        <v>41</v>
      </c>
      <c r="J803" s="19"/>
      <c r="K803" s="19"/>
      <c r="L803" s="7">
        <v>3</v>
      </c>
      <c r="M803" s="21">
        <f>199*(1-P3/100)</f>
        <v>199</v>
      </c>
      <c r="N803" s="15"/>
      <c r="O803" s="19">
        <f>M803*N803</f>
        <v>0</v>
      </c>
      <c r="P803" s="38">
        <f>0.06*N803</f>
        <v>0</v>
      </c>
      <c r="Q803" s="27">
        <f>0.00056*N803</f>
        <v>0</v>
      </c>
      <c r="R803" s="28" t="s">
        <v>81</v>
      </c>
      <c r="S803" s="29" t="s">
        <v>3327</v>
      </c>
      <c r="T803" s="29" t="s">
        <v>94</v>
      </c>
      <c r="U803" s="8"/>
      <c r="V803" s="8" t="s">
        <v>3328</v>
      </c>
      <c r="W803" s="8" t="s">
        <v>46</v>
      </c>
      <c r="X803" s="8"/>
      <c r="Y803" s="8"/>
      <c r="Z803" s="8" t="str">
        <f>HYPERLINK("https://knigipp.ru/api/getInfo/image/18d08360-6d47-11f0-a284-00155d82e908")</f>
        <v>https://knigipp.ru/api/getInfo/image/18d08360-6d47-11f0-a284-00155d82e908</v>
      </c>
      <c r="AA803" s="34">
        <v>8</v>
      </c>
      <c r="AB803" s="8" t="s">
        <v>47</v>
      </c>
      <c r="AC803" s="8" t="s">
        <v>96</v>
      </c>
      <c r="AD803" s="8"/>
      <c r="AE803" s="8" t="s">
        <v>49</v>
      </c>
      <c r="AF803" s="8"/>
      <c r="AG803" s="8"/>
      <c r="AH803" s="8" t="s">
        <v>472</v>
      </c>
    </row>
    <row r="804" spans="2:34" ht="21" customHeight="1" outlineLevel="4" x14ac:dyDescent="0.2">
      <c r="B804" s="7">
        <v>597</v>
      </c>
      <c r="C804" s="8" t="s">
        <v>3329</v>
      </c>
      <c r="D804" s="8" t="s">
        <v>3330</v>
      </c>
      <c r="E804" s="9" t="s">
        <v>3331</v>
      </c>
      <c r="F804" s="16"/>
      <c r="G804" s="17"/>
      <c r="H804" s="18">
        <v>50</v>
      </c>
      <c r="I804" s="19" t="s">
        <v>41</v>
      </c>
      <c r="J804" s="19"/>
      <c r="K804" s="19"/>
      <c r="L804" s="7">
        <v>3</v>
      </c>
      <c r="M804" s="21">
        <f>199*(1-P3/100)</f>
        <v>199</v>
      </c>
      <c r="N804" s="15"/>
      <c r="O804" s="19">
        <f>M804*N804</f>
        <v>0</v>
      </c>
      <c r="P804" s="38">
        <f>0.06*N804</f>
        <v>0</v>
      </c>
      <c r="Q804" s="27">
        <f>0.00029*N804</f>
        <v>0</v>
      </c>
      <c r="R804" s="28" t="s">
        <v>81</v>
      </c>
      <c r="S804" s="29" t="s">
        <v>3332</v>
      </c>
      <c r="T804" s="29" t="s">
        <v>94</v>
      </c>
      <c r="U804" s="8"/>
      <c r="V804" s="8" t="s">
        <v>3333</v>
      </c>
      <c r="W804" s="8" t="s">
        <v>46</v>
      </c>
      <c r="X804" s="8"/>
      <c r="Y804" s="8"/>
      <c r="Z804" s="8" t="str">
        <f>HYPERLINK("https://knigipp.ru/api/getInfo/image/a84583eb-6d47-11f0-a284-00155d82e908")</f>
        <v>https://knigipp.ru/api/getInfo/image/a84583eb-6d47-11f0-a284-00155d82e908</v>
      </c>
      <c r="AA804" s="34">
        <v>8</v>
      </c>
      <c r="AB804" s="8" t="s">
        <v>47</v>
      </c>
      <c r="AC804" s="8" t="s">
        <v>96</v>
      </c>
      <c r="AD804" s="8"/>
      <c r="AE804" s="8" t="s">
        <v>49</v>
      </c>
      <c r="AF804" s="8"/>
      <c r="AG804" s="8"/>
      <c r="AH804" s="8" t="s">
        <v>472</v>
      </c>
    </row>
    <row r="805" spans="2:34" ht="21" customHeight="1" outlineLevel="4" x14ac:dyDescent="0.2">
      <c r="B805" s="7">
        <v>598</v>
      </c>
      <c r="C805" s="8" t="s">
        <v>3334</v>
      </c>
      <c r="D805" s="8" t="s">
        <v>3335</v>
      </c>
      <c r="E805" s="9" t="s">
        <v>3336</v>
      </c>
      <c r="F805" s="16"/>
      <c r="G805" s="17"/>
      <c r="H805" s="18">
        <v>50</v>
      </c>
      <c r="I805" s="19" t="s">
        <v>41</v>
      </c>
      <c r="J805" s="19"/>
      <c r="K805" s="19"/>
      <c r="L805" s="7">
        <v>3</v>
      </c>
      <c r="M805" s="21">
        <f>199*(1-P3/100)</f>
        <v>199</v>
      </c>
      <c r="N805" s="15"/>
      <c r="O805" s="19">
        <f>M805*N805</f>
        <v>0</v>
      </c>
      <c r="P805" s="38">
        <f>0.06*N805</f>
        <v>0</v>
      </c>
      <c r="Q805" s="27">
        <f>0.00028*N805</f>
        <v>0</v>
      </c>
      <c r="R805" s="28" t="s">
        <v>81</v>
      </c>
      <c r="S805" s="29" t="s">
        <v>3337</v>
      </c>
      <c r="T805" s="29" t="s">
        <v>94</v>
      </c>
      <c r="U805" s="8"/>
      <c r="V805" s="8" t="s">
        <v>3338</v>
      </c>
      <c r="W805" s="8" t="s">
        <v>46</v>
      </c>
      <c r="X805" s="8"/>
      <c r="Y805" s="8"/>
      <c r="Z805" s="8" t="str">
        <f>HYPERLINK("https://knigipp.ru/api/getInfo/image/47dc81a7-6d47-11f0-a284-00155d82e908")</f>
        <v>https://knigipp.ru/api/getInfo/image/47dc81a7-6d47-11f0-a284-00155d82e908</v>
      </c>
      <c r="AA805" s="34">
        <v>8</v>
      </c>
      <c r="AB805" s="8" t="s">
        <v>47</v>
      </c>
      <c r="AC805" s="8" t="s">
        <v>96</v>
      </c>
      <c r="AD805" s="8"/>
      <c r="AE805" s="8" t="s">
        <v>49</v>
      </c>
      <c r="AF805" s="8"/>
      <c r="AG805" s="8"/>
      <c r="AH805" s="8" t="s">
        <v>472</v>
      </c>
    </row>
    <row r="806" spans="2:34" ht="21" customHeight="1" outlineLevel="4" x14ac:dyDescent="0.2">
      <c r="B806" s="7">
        <v>599</v>
      </c>
      <c r="C806" s="8" t="s">
        <v>3339</v>
      </c>
      <c r="D806" s="8" t="s">
        <v>3340</v>
      </c>
      <c r="E806" s="9" t="s">
        <v>3341</v>
      </c>
      <c r="F806" s="16"/>
      <c r="G806" s="17"/>
      <c r="H806" s="18">
        <v>50</v>
      </c>
      <c r="I806" s="19" t="s">
        <v>41</v>
      </c>
      <c r="J806" s="19"/>
      <c r="K806" s="19"/>
      <c r="L806" s="7">
        <v>3</v>
      </c>
      <c r="M806" s="21">
        <f>199*(1-P3/100)</f>
        <v>199</v>
      </c>
      <c r="N806" s="15"/>
      <c r="O806" s="19">
        <f>M806*N806</f>
        <v>0</v>
      </c>
      <c r="P806" s="26">
        <f>0.059*N806</f>
        <v>0</v>
      </c>
      <c r="Q806" s="27">
        <f>0.00033*N806</f>
        <v>0</v>
      </c>
      <c r="R806" s="28" t="s">
        <v>81</v>
      </c>
      <c r="S806" s="29" t="s">
        <v>3342</v>
      </c>
      <c r="T806" s="29" t="s">
        <v>94</v>
      </c>
      <c r="U806" s="8"/>
      <c r="V806" s="8" t="s">
        <v>3343</v>
      </c>
      <c r="W806" s="8" t="s">
        <v>46</v>
      </c>
      <c r="X806" s="8"/>
      <c r="Y806" s="8"/>
      <c r="Z806" s="8" t="str">
        <f>HYPERLINK("https://knigipp.ru/api/getInfo/image/7635d0d9-6d47-11f0-a284-00155d82e908")</f>
        <v>https://knigipp.ru/api/getInfo/image/7635d0d9-6d47-11f0-a284-00155d82e908</v>
      </c>
      <c r="AA806" s="34">
        <v>8</v>
      </c>
      <c r="AB806" s="8" t="s">
        <v>47</v>
      </c>
      <c r="AC806" s="8" t="s">
        <v>96</v>
      </c>
      <c r="AD806" s="8"/>
      <c r="AE806" s="8" t="s">
        <v>49</v>
      </c>
      <c r="AF806" s="8"/>
      <c r="AG806" s="8"/>
      <c r="AH806" s="8" t="s">
        <v>472</v>
      </c>
    </row>
    <row r="807" spans="2:34" ht="22.95" customHeight="1" outlineLevel="3" x14ac:dyDescent="0.2">
      <c r="B807" s="74" t="s">
        <v>3344</v>
      </c>
      <c r="C807" s="74"/>
      <c r="D807" s="74"/>
    </row>
    <row r="808" spans="2:34" ht="21" customHeight="1" outlineLevel="4" x14ac:dyDescent="0.2">
      <c r="B808" s="4">
        <v>600</v>
      </c>
      <c r="C808" s="5" t="s">
        <v>3345</v>
      </c>
      <c r="D808" s="5" t="s">
        <v>3346</v>
      </c>
      <c r="E808" s="6" t="s">
        <v>3347</v>
      </c>
      <c r="F808" s="10"/>
      <c r="G808" s="11" t="s">
        <v>3348</v>
      </c>
      <c r="H808" s="12">
        <v>50</v>
      </c>
      <c r="I808" s="13" t="s">
        <v>261</v>
      </c>
      <c r="J808" s="13"/>
      <c r="K808" s="13"/>
      <c r="L808" s="4">
        <v>5</v>
      </c>
      <c r="M808" s="14">
        <f>119*(1-P3/100)</f>
        <v>119</v>
      </c>
      <c r="N808" s="15"/>
      <c r="O808" s="13">
        <f>M808*N808</f>
        <v>0</v>
      </c>
      <c r="P808" s="32">
        <f>0.04*N808</f>
        <v>0</v>
      </c>
      <c r="Q808" s="23">
        <f>0.00007*N808</f>
        <v>0</v>
      </c>
      <c r="R808" s="24"/>
      <c r="S808" s="25" t="s">
        <v>3349</v>
      </c>
      <c r="T808" s="25" t="s">
        <v>94</v>
      </c>
      <c r="U808" s="5"/>
      <c r="V808" s="5" t="s">
        <v>3350</v>
      </c>
      <c r="W808" s="5" t="s">
        <v>46</v>
      </c>
      <c r="X808" s="5"/>
      <c r="Y808" s="5"/>
      <c r="Z808" s="5" t="str">
        <f>HYPERLINK("https://knigipp.ru/api/getInfo/image/9ced361f-f92d-11ec-a213-ac1f6b442185")</f>
        <v>https://knigipp.ru/api/getInfo/image/9ced361f-f92d-11ec-a213-ac1f6b442185</v>
      </c>
      <c r="AA808" s="33">
        <v>8</v>
      </c>
      <c r="AB808" s="5"/>
      <c r="AC808" s="5" t="s">
        <v>96</v>
      </c>
      <c r="AD808" s="5"/>
      <c r="AE808" s="5" t="s">
        <v>49</v>
      </c>
      <c r="AF808" s="5"/>
      <c r="AG808" s="5"/>
      <c r="AH808" s="5" t="s">
        <v>3351</v>
      </c>
    </row>
    <row r="809" spans="2:34" ht="21" customHeight="1" outlineLevel="4" x14ac:dyDescent="0.2">
      <c r="B809" s="4">
        <v>601</v>
      </c>
      <c r="C809" s="5" t="s">
        <v>3352</v>
      </c>
      <c r="D809" s="5" t="s">
        <v>3353</v>
      </c>
      <c r="E809" s="6" t="s">
        <v>3354</v>
      </c>
      <c r="F809" s="10"/>
      <c r="G809" s="11" t="s">
        <v>3355</v>
      </c>
      <c r="H809" s="12">
        <v>50</v>
      </c>
      <c r="I809" s="13" t="s">
        <v>261</v>
      </c>
      <c r="J809" s="13"/>
      <c r="K809" s="13"/>
      <c r="L809" s="4">
        <v>5</v>
      </c>
      <c r="M809" s="14">
        <f>119*(1-P3/100)</f>
        <v>119</v>
      </c>
      <c r="N809" s="15"/>
      <c r="O809" s="13">
        <f>M809*N809</f>
        <v>0</v>
      </c>
      <c r="P809" s="13">
        <v>0</v>
      </c>
      <c r="Q809" s="13">
        <v>0</v>
      </c>
      <c r="R809" s="24"/>
      <c r="S809" s="25" t="s">
        <v>3356</v>
      </c>
      <c r="T809" s="25" t="s">
        <v>94</v>
      </c>
      <c r="U809" s="5"/>
      <c r="V809" s="5"/>
      <c r="W809" s="5" t="s">
        <v>46</v>
      </c>
      <c r="X809" s="5"/>
      <c r="Y809" s="5"/>
      <c r="Z809" s="5" t="str">
        <f>HYPERLINK("https://knigipp.ru/api/getInfo/image/3f755947-9957-11ec-a211-ac1f6b442185")</f>
        <v>https://knigipp.ru/api/getInfo/image/3f755947-9957-11ec-a211-ac1f6b442185</v>
      </c>
      <c r="AA809" s="33">
        <v>8</v>
      </c>
      <c r="AB809" s="5"/>
      <c r="AC809" s="5" t="s">
        <v>96</v>
      </c>
      <c r="AD809" s="5"/>
      <c r="AE809" s="5" t="s">
        <v>49</v>
      </c>
      <c r="AF809" s="5"/>
      <c r="AG809" s="5"/>
      <c r="AH809" s="5" t="s">
        <v>3351</v>
      </c>
    </row>
    <row r="810" spans="2:34" ht="22.95" customHeight="1" outlineLevel="3" x14ac:dyDescent="0.2">
      <c r="B810" s="74" t="s">
        <v>3357</v>
      </c>
      <c r="C810" s="74"/>
      <c r="D810" s="74"/>
    </row>
    <row r="811" spans="2:34" ht="21" customHeight="1" outlineLevel="4" x14ac:dyDescent="0.2">
      <c r="B811" s="4">
        <v>602</v>
      </c>
      <c r="C811" s="5" t="s">
        <v>3358</v>
      </c>
      <c r="D811" s="5" t="s">
        <v>3359</v>
      </c>
      <c r="E811" s="6" t="s">
        <v>3360</v>
      </c>
      <c r="F811" s="10"/>
      <c r="G811" s="11" t="s">
        <v>3361</v>
      </c>
      <c r="H811" s="12">
        <v>50</v>
      </c>
      <c r="I811" s="13" t="s">
        <v>261</v>
      </c>
      <c r="J811" s="13"/>
      <c r="K811" s="13"/>
      <c r="L811" s="4">
        <v>4</v>
      </c>
      <c r="M811" s="14">
        <f>179*(1-P3/100)</f>
        <v>179</v>
      </c>
      <c r="N811" s="15"/>
      <c r="O811" s="13">
        <f>M811*N811</f>
        <v>0</v>
      </c>
      <c r="P811" s="22">
        <f>0.043*N811</f>
        <v>0</v>
      </c>
      <c r="Q811" s="23">
        <f>0.00009*N811</f>
        <v>0</v>
      </c>
      <c r="R811" s="24"/>
      <c r="S811" s="25" t="s">
        <v>3362</v>
      </c>
      <c r="T811" s="25" t="s">
        <v>94</v>
      </c>
      <c r="U811" s="5"/>
      <c r="V811" s="5" t="s">
        <v>3363</v>
      </c>
      <c r="W811" s="5" t="s">
        <v>46</v>
      </c>
      <c r="X811" s="5"/>
      <c r="Y811" s="5"/>
      <c r="Z811" s="5" t="str">
        <f>HYPERLINK("https://knigipp.ru/api/getInfo/image/7eb464e5-1f4d-11ef-a25f-00155d82e908")</f>
        <v>https://knigipp.ru/api/getInfo/image/7eb464e5-1f4d-11ef-a25f-00155d82e908</v>
      </c>
      <c r="AA811" s="33">
        <v>8</v>
      </c>
      <c r="AB811" s="5" t="s">
        <v>47</v>
      </c>
      <c r="AC811" s="5" t="s">
        <v>96</v>
      </c>
      <c r="AD811" s="5"/>
      <c r="AE811" s="5" t="s">
        <v>49</v>
      </c>
      <c r="AF811" s="5"/>
      <c r="AG811" s="5"/>
      <c r="AH811" s="5" t="s">
        <v>3364</v>
      </c>
    </row>
    <row r="812" spans="2:34" ht="21" customHeight="1" outlineLevel="4" x14ac:dyDescent="0.2">
      <c r="B812" s="4">
        <v>603</v>
      </c>
      <c r="C812" s="5" t="s">
        <v>3365</v>
      </c>
      <c r="D812" s="5" t="s">
        <v>3366</v>
      </c>
      <c r="E812" s="6" t="s">
        <v>3367</v>
      </c>
      <c r="F812" s="10"/>
      <c r="G812" s="11" t="s">
        <v>3361</v>
      </c>
      <c r="H812" s="12">
        <v>50</v>
      </c>
      <c r="I812" s="13" t="s">
        <v>261</v>
      </c>
      <c r="J812" s="13"/>
      <c r="K812" s="13"/>
      <c r="L812" s="4">
        <v>4</v>
      </c>
      <c r="M812" s="14">
        <f>179*(1-P3/100)</f>
        <v>179</v>
      </c>
      <c r="N812" s="15"/>
      <c r="O812" s="13">
        <f>M812*N812</f>
        <v>0</v>
      </c>
      <c r="P812" s="22">
        <f>0.066*N812</f>
        <v>0</v>
      </c>
      <c r="Q812" s="23">
        <f>0.00023*N812</f>
        <v>0</v>
      </c>
      <c r="R812" s="24"/>
      <c r="S812" s="25" t="s">
        <v>3368</v>
      </c>
      <c r="T812" s="25" t="s">
        <v>94</v>
      </c>
      <c r="U812" s="5"/>
      <c r="V812" s="5"/>
      <c r="W812" s="5" t="s">
        <v>46</v>
      </c>
      <c r="X812" s="5"/>
      <c r="Y812" s="5"/>
      <c r="Z812" s="5" t="str">
        <f>HYPERLINK("https://knigipp.ru/api/getInfo/image/ffac1f00-c2d2-11eb-a206-ac1f6b442185")</f>
        <v>https://knigipp.ru/api/getInfo/image/ffac1f00-c2d2-11eb-a206-ac1f6b442185</v>
      </c>
      <c r="AA812" s="33">
        <v>8</v>
      </c>
      <c r="AB812" s="5"/>
      <c r="AC812" s="5" t="s">
        <v>96</v>
      </c>
      <c r="AD812" s="5"/>
      <c r="AE812" s="5" t="s">
        <v>49</v>
      </c>
      <c r="AF812" s="5"/>
      <c r="AG812" s="5"/>
      <c r="AH812" s="5" t="s">
        <v>3364</v>
      </c>
    </row>
    <row r="813" spans="2:34" ht="22.95" customHeight="1" outlineLevel="3" x14ac:dyDescent="0.2">
      <c r="B813" s="74" t="s">
        <v>3369</v>
      </c>
      <c r="C813" s="74"/>
      <c r="D813" s="74"/>
    </row>
    <row r="814" spans="2:34" ht="21" customHeight="1" outlineLevel="4" x14ac:dyDescent="0.2">
      <c r="B814" s="4">
        <v>604</v>
      </c>
      <c r="C814" s="5" t="s">
        <v>3370</v>
      </c>
      <c r="D814" s="5" t="s">
        <v>3371</v>
      </c>
      <c r="E814" s="6" t="s">
        <v>3372</v>
      </c>
      <c r="F814" s="10"/>
      <c r="G814" s="11" t="s">
        <v>3373</v>
      </c>
      <c r="H814" s="12">
        <v>80</v>
      </c>
      <c r="I814" s="13" t="s">
        <v>41</v>
      </c>
      <c r="J814" s="13"/>
      <c r="K814" s="13"/>
      <c r="L814" s="4">
        <v>4</v>
      </c>
      <c r="M814" s="14">
        <f>155*(1-P3/100)</f>
        <v>155</v>
      </c>
      <c r="N814" s="15"/>
      <c r="O814" s="13">
        <f>M814*N814</f>
        <v>0</v>
      </c>
      <c r="P814" s="22">
        <f>0.037*N814</f>
        <v>0</v>
      </c>
      <c r="Q814" s="23">
        <f>0.00004*N814</f>
        <v>0</v>
      </c>
      <c r="R814" s="24"/>
      <c r="S814" s="25" t="s">
        <v>3374</v>
      </c>
      <c r="T814" s="25" t="s">
        <v>94</v>
      </c>
      <c r="U814" s="5"/>
      <c r="V814" s="5"/>
      <c r="W814" s="5" t="s">
        <v>46</v>
      </c>
      <c r="X814" s="5"/>
      <c r="Y814" s="5"/>
      <c r="Z814" s="5" t="str">
        <f>HYPERLINK("https://knigipp.ru/api/getInfo/image/3bd87b85-602e-11ed-a229-00155d82e902")</f>
        <v>https://knigipp.ru/api/getInfo/image/3bd87b85-602e-11ed-a229-00155d82e902</v>
      </c>
      <c r="AA814" s="33">
        <v>8</v>
      </c>
      <c r="AB814" s="5"/>
      <c r="AC814" s="5" t="s">
        <v>3375</v>
      </c>
      <c r="AD814" s="5"/>
      <c r="AE814" s="5" t="s">
        <v>49</v>
      </c>
      <c r="AF814" s="5"/>
      <c r="AG814" s="5"/>
      <c r="AH814" s="5" t="s">
        <v>3376</v>
      </c>
    </row>
    <row r="815" spans="2:34" ht="21" customHeight="1" outlineLevel="4" x14ac:dyDescent="0.2">
      <c r="B815" s="4">
        <v>605</v>
      </c>
      <c r="C815" s="5" t="s">
        <v>3377</v>
      </c>
      <c r="D815" s="5" t="s">
        <v>3378</v>
      </c>
      <c r="E815" s="6" t="s">
        <v>3379</v>
      </c>
      <c r="F815" s="10"/>
      <c r="G815" s="11" t="s">
        <v>3373</v>
      </c>
      <c r="H815" s="12">
        <v>80</v>
      </c>
      <c r="I815" s="13" t="s">
        <v>41</v>
      </c>
      <c r="J815" s="13"/>
      <c r="K815" s="13"/>
      <c r="L815" s="4">
        <v>4</v>
      </c>
      <c r="M815" s="14">
        <f>155*(1-P3/100)</f>
        <v>155</v>
      </c>
      <c r="N815" s="15"/>
      <c r="O815" s="13">
        <f>M815*N815</f>
        <v>0</v>
      </c>
      <c r="P815" s="22">
        <f>0.032*N815</f>
        <v>0</v>
      </c>
      <c r="Q815" s="23">
        <f>0.00006*N815</f>
        <v>0</v>
      </c>
      <c r="R815" s="24"/>
      <c r="S815" s="25" t="s">
        <v>3380</v>
      </c>
      <c r="T815" s="25" t="s">
        <v>94</v>
      </c>
      <c r="U815" s="5"/>
      <c r="V815" s="5"/>
      <c r="W815" s="5" t="s">
        <v>46</v>
      </c>
      <c r="X815" s="5"/>
      <c r="Y815" s="5"/>
      <c r="Z815" s="5" t="str">
        <f>HYPERLINK("https://knigipp.ru/api/getInfo/image/2fe2ed54-d1e9-11ec-a212-ac1f6b442185")</f>
        <v>https://knigipp.ru/api/getInfo/image/2fe2ed54-d1e9-11ec-a212-ac1f6b442185</v>
      </c>
      <c r="AA815" s="33">
        <v>8</v>
      </c>
      <c r="AB815" s="5"/>
      <c r="AC815" s="5" t="s">
        <v>3375</v>
      </c>
      <c r="AD815" s="5"/>
      <c r="AE815" s="5" t="s">
        <v>49</v>
      </c>
      <c r="AF815" s="5"/>
      <c r="AG815" s="5"/>
      <c r="AH815" s="5" t="s">
        <v>3376</v>
      </c>
    </row>
    <row r="816" spans="2:34" ht="22.95" customHeight="1" outlineLevel="2" x14ac:dyDescent="0.2">
      <c r="B816" s="73" t="s">
        <v>3381</v>
      </c>
      <c r="C816" s="73"/>
      <c r="D816" s="73"/>
    </row>
    <row r="817" spans="2:34" ht="22.95" customHeight="1" outlineLevel="3" x14ac:dyDescent="0.2">
      <c r="B817" s="74" t="s">
        <v>3382</v>
      </c>
      <c r="C817" s="74"/>
      <c r="D817" s="74"/>
    </row>
    <row r="818" spans="2:34" ht="21" customHeight="1" outlineLevel="4" x14ac:dyDescent="0.2">
      <c r="B818" s="4">
        <v>606</v>
      </c>
      <c r="C818" s="5" t="s">
        <v>3383</v>
      </c>
      <c r="D818" s="5" t="s">
        <v>3384</v>
      </c>
      <c r="E818" s="6" t="s">
        <v>3385</v>
      </c>
      <c r="F818" s="10"/>
      <c r="G818" s="11" t="s">
        <v>3386</v>
      </c>
      <c r="H818" s="12">
        <v>10</v>
      </c>
      <c r="I818" s="13" t="s">
        <v>41</v>
      </c>
      <c r="J818" s="13"/>
      <c r="K818" s="13"/>
      <c r="L818" s="4">
        <v>3</v>
      </c>
      <c r="M818" s="14">
        <f>219*(1-P3/100)</f>
        <v>219</v>
      </c>
      <c r="N818" s="15"/>
      <c r="O818" s="13">
        <f t="shared" ref="O818:O877" si="24">M818*N818</f>
        <v>0</v>
      </c>
      <c r="P818" s="22">
        <f>0.294*N818</f>
        <v>0</v>
      </c>
      <c r="Q818" s="23">
        <f>0.00066*N818</f>
        <v>0</v>
      </c>
      <c r="R818" s="24"/>
      <c r="S818" s="25" t="s">
        <v>3387</v>
      </c>
      <c r="T818" s="25" t="s">
        <v>94</v>
      </c>
      <c r="U818" s="5"/>
      <c r="V818" s="5" t="s">
        <v>3388</v>
      </c>
      <c r="W818" s="5" t="s">
        <v>46</v>
      </c>
      <c r="X818" s="5"/>
      <c r="Y818" s="5"/>
      <c r="Z818" s="5" t="str">
        <f>HYPERLINK("https://knigipp.ru/api/getInfo/image/fd0e7842-c4e1-11ef-a268-00155d82e908")</f>
        <v>https://knigipp.ru/api/getInfo/image/fd0e7842-c4e1-11ef-a268-00155d82e908</v>
      </c>
      <c r="AA818" s="33">
        <v>160</v>
      </c>
      <c r="AB818" s="5" t="s">
        <v>574</v>
      </c>
      <c r="AC818" s="5" t="s">
        <v>86</v>
      </c>
      <c r="AD818" s="33">
        <v>70</v>
      </c>
      <c r="AE818" s="5" t="s">
        <v>49</v>
      </c>
      <c r="AF818" s="5"/>
      <c r="AG818" s="5" t="s">
        <v>3389</v>
      </c>
      <c r="AH818" s="5" t="s">
        <v>1996</v>
      </c>
    </row>
    <row r="819" spans="2:34" ht="21" customHeight="1" outlineLevel="4" x14ac:dyDescent="0.2">
      <c r="B819" s="4">
        <v>607</v>
      </c>
      <c r="C819" s="5" t="s">
        <v>3390</v>
      </c>
      <c r="D819" s="5" t="s">
        <v>3391</v>
      </c>
      <c r="E819" s="6" t="s">
        <v>3392</v>
      </c>
      <c r="F819" s="10"/>
      <c r="G819" s="11" t="s">
        <v>3386</v>
      </c>
      <c r="H819" s="12">
        <v>10</v>
      </c>
      <c r="I819" s="13" t="s">
        <v>41</v>
      </c>
      <c r="J819" s="13"/>
      <c r="K819" s="13"/>
      <c r="L819" s="4">
        <v>3</v>
      </c>
      <c r="M819" s="14">
        <f>219*(1-P3/100)</f>
        <v>219</v>
      </c>
      <c r="N819" s="15"/>
      <c r="O819" s="13">
        <f t="shared" si="24"/>
        <v>0</v>
      </c>
      <c r="P819" s="22">
        <f>0.294*N819</f>
        <v>0</v>
      </c>
      <c r="Q819" s="23">
        <f>0.00033*N819</f>
        <v>0</v>
      </c>
      <c r="R819" s="24"/>
      <c r="S819" s="25" t="s">
        <v>3393</v>
      </c>
      <c r="T819" s="25" t="s">
        <v>94</v>
      </c>
      <c r="U819" s="5"/>
      <c r="V819" s="5"/>
      <c r="W819" s="5"/>
      <c r="X819" s="5"/>
      <c r="Y819" s="5"/>
      <c r="Z819" s="5" t="str">
        <f>HYPERLINK("https://knigipp.ru/api/getInfo/image/a8849eb4-cba6-11ec-a212-ac1f6b442185")</f>
        <v>https://knigipp.ru/api/getInfo/image/a8849eb4-cba6-11ec-a212-ac1f6b442185</v>
      </c>
      <c r="AA819" s="33">
        <v>160</v>
      </c>
      <c r="AB819" s="5"/>
      <c r="AC819" s="5" t="s">
        <v>86</v>
      </c>
      <c r="AD819" s="33">
        <v>70</v>
      </c>
      <c r="AE819" s="5" t="s">
        <v>49</v>
      </c>
      <c r="AF819" s="5"/>
      <c r="AG819" s="5" t="s">
        <v>3389</v>
      </c>
      <c r="AH819" s="5" t="s">
        <v>1996</v>
      </c>
    </row>
    <row r="820" spans="2:34" ht="21" customHeight="1" outlineLevel="4" x14ac:dyDescent="0.2">
      <c r="B820" s="4">
        <v>608</v>
      </c>
      <c r="C820" s="5" t="s">
        <v>3394</v>
      </c>
      <c r="D820" s="5" t="s">
        <v>3395</v>
      </c>
      <c r="E820" s="6" t="s">
        <v>3396</v>
      </c>
      <c r="F820" s="10"/>
      <c r="G820" s="11" t="s">
        <v>3386</v>
      </c>
      <c r="H820" s="12">
        <v>10</v>
      </c>
      <c r="I820" s="13" t="s">
        <v>41</v>
      </c>
      <c r="J820" s="13"/>
      <c r="K820" s="13"/>
      <c r="L820" s="4">
        <v>3</v>
      </c>
      <c r="M820" s="14">
        <f>219*(1-P3/100)</f>
        <v>219</v>
      </c>
      <c r="N820" s="15"/>
      <c r="O820" s="13">
        <f t="shared" si="24"/>
        <v>0</v>
      </c>
      <c r="P820" s="22">
        <f>0.296*N820</f>
        <v>0</v>
      </c>
      <c r="Q820" s="30">
        <f>0.0007*N820</f>
        <v>0</v>
      </c>
      <c r="R820" s="24"/>
      <c r="S820" s="25" t="s">
        <v>3397</v>
      </c>
      <c r="T820" s="25" t="s">
        <v>94</v>
      </c>
      <c r="U820" s="5"/>
      <c r="V820" s="5"/>
      <c r="W820" s="5"/>
      <c r="X820" s="5"/>
      <c r="Y820" s="5"/>
      <c r="Z820" s="5" t="str">
        <f>HYPERLINK("https://knigipp.ru/api/getInfo/image/440e7931-e1a4-11ec-a213-ac1f6b442185")</f>
        <v>https://knigipp.ru/api/getInfo/image/440e7931-e1a4-11ec-a213-ac1f6b442185</v>
      </c>
      <c r="AA820" s="33">
        <v>160</v>
      </c>
      <c r="AB820" s="5"/>
      <c r="AC820" s="5" t="s">
        <v>86</v>
      </c>
      <c r="AD820" s="33">
        <v>70</v>
      </c>
      <c r="AE820" s="5" t="s">
        <v>49</v>
      </c>
      <c r="AF820" s="5"/>
      <c r="AG820" s="5" t="s">
        <v>3389</v>
      </c>
      <c r="AH820" s="5" t="s">
        <v>1996</v>
      </c>
    </row>
    <row r="821" spans="2:34" ht="21" customHeight="1" outlineLevel="4" x14ac:dyDescent="0.2">
      <c r="B821" s="4">
        <v>609</v>
      </c>
      <c r="C821" s="5" t="s">
        <v>3398</v>
      </c>
      <c r="D821" s="5" t="s">
        <v>3399</v>
      </c>
      <c r="E821" s="6" t="s">
        <v>3400</v>
      </c>
      <c r="F821" s="10"/>
      <c r="G821" s="11" t="s">
        <v>3386</v>
      </c>
      <c r="H821" s="12">
        <v>10</v>
      </c>
      <c r="I821" s="13" t="s">
        <v>41</v>
      </c>
      <c r="J821" s="13"/>
      <c r="K821" s="13"/>
      <c r="L821" s="4">
        <v>3</v>
      </c>
      <c r="M821" s="14">
        <f>219*(1-P3/100)</f>
        <v>219</v>
      </c>
      <c r="N821" s="15"/>
      <c r="O821" s="13">
        <f t="shared" si="24"/>
        <v>0</v>
      </c>
      <c r="P821" s="13">
        <v>0</v>
      </c>
      <c r="Q821" s="13">
        <v>0</v>
      </c>
      <c r="R821" s="24"/>
      <c r="S821" s="25" t="s">
        <v>3401</v>
      </c>
      <c r="T821" s="25" t="s">
        <v>94</v>
      </c>
      <c r="U821" s="5"/>
      <c r="V821" s="5"/>
      <c r="W821" s="5" t="s">
        <v>46</v>
      </c>
      <c r="X821" s="5"/>
      <c r="Y821" s="5"/>
      <c r="Z821" s="5" t="str">
        <f>HYPERLINK("https://knigipp.ru/api/getInfo/image/04152c04-4547-11ed-a216-ac1f6b442185")</f>
        <v>https://knigipp.ru/api/getInfo/image/04152c04-4547-11ed-a216-ac1f6b442185</v>
      </c>
      <c r="AA821" s="33">
        <v>160</v>
      </c>
      <c r="AB821" s="5" t="s">
        <v>598</v>
      </c>
      <c r="AC821" s="5" t="s">
        <v>86</v>
      </c>
      <c r="AD821" s="33">
        <v>70</v>
      </c>
      <c r="AE821" s="5" t="s">
        <v>49</v>
      </c>
      <c r="AF821" s="5"/>
      <c r="AG821" s="5" t="s">
        <v>3389</v>
      </c>
      <c r="AH821" s="5" t="s">
        <v>1996</v>
      </c>
    </row>
    <row r="822" spans="2:34" ht="21" customHeight="1" outlineLevel="4" x14ac:dyDescent="0.2">
      <c r="B822" s="4">
        <v>610</v>
      </c>
      <c r="C822" s="5" t="s">
        <v>3402</v>
      </c>
      <c r="D822" s="5" t="s">
        <v>3403</v>
      </c>
      <c r="E822" s="6" t="s">
        <v>3404</v>
      </c>
      <c r="F822" s="10"/>
      <c r="G822" s="11" t="s">
        <v>3386</v>
      </c>
      <c r="H822" s="12">
        <v>10</v>
      </c>
      <c r="I822" s="13" t="s">
        <v>41</v>
      </c>
      <c r="J822" s="13"/>
      <c r="K822" s="13"/>
      <c r="L822" s="4">
        <v>3</v>
      </c>
      <c r="M822" s="14">
        <f>219*(1-P3/100)</f>
        <v>219</v>
      </c>
      <c r="N822" s="15"/>
      <c r="O822" s="13">
        <f t="shared" si="24"/>
        <v>0</v>
      </c>
      <c r="P822" s="22">
        <f>0.292*N822</f>
        <v>0</v>
      </c>
      <c r="Q822" s="23">
        <f>0.00049*N822</f>
        <v>0</v>
      </c>
      <c r="R822" s="24"/>
      <c r="S822" s="25" t="s">
        <v>3405</v>
      </c>
      <c r="T822" s="25" t="s">
        <v>94</v>
      </c>
      <c r="U822" s="5"/>
      <c r="V822" s="5"/>
      <c r="W822" s="5"/>
      <c r="X822" s="5"/>
      <c r="Y822" s="5"/>
      <c r="Z822" s="5" t="str">
        <f>HYPERLINK("https://knigipp.ru/api/getInfo/image/99066c33-e1a3-11ec-a213-ac1f6b442185")</f>
        <v>https://knigipp.ru/api/getInfo/image/99066c33-e1a3-11ec-a213-ac1f6b442185</v>
      </c>
      <c r="AA822" s="33">
        <v>160</v>
      </c>
      <c r="AB822" s="5"/>
      <c r="AC822" s="5" t="s">
        <v>86</v>
      </c>
      <c r="AD822" s="33">
        <v>70</v>
      </c>
      <c r="AE822" s="5" t="s">
        <v>49</v>
      </c>
      <c r="AF822" s="5"/>
      <c r="AG822" s="5" t="s">
        <v>3389</v>
      </c>
      <c r="AH822" s="5" t="s">
        <v>1996</v>
      </c>
    </row>
    <row r="823" spans="2:34" ht="21" customHeight="1" outlineLevel="4" x14ac:dyDescent="0.2">
      <c r="B823" s="4">
        <v>611</v>
      </c>
      <c r="C823" s="5" t="s">
        <v>3406</v>
      </c>
      <c r="D823" s="5" t="s">
        <v>3407</v>
      </c>
      <c r="E823" s="6" t="s">
        <v>3408</v>
      </c>
      <c r="F823" s="10"/>
      <c r="G823" s="11" t="s">
        <v>3386</v>
      </c>
      <c r="H823" s="12">
        <v>10</v>
      </c>
      <c r="I823" s="13" t="s">
        <v>41</v>
      </c>
      <c r="J823" s="13"/>
      <c r="K823" s="13"/>
      <c r="L823" s="4">
        <v>3</v>
      </c>
      <c r="M823" s="14">
        <f>219*(1-P3/100)</f>
        <v>219</v>
      </c>
      <c r="N823" s="15"/>
      <c r="O823" s="13">
        <f t="shared" si="24"/>
        <v>0</v>
      </c>
      <c r="P823" s="22">
        <f>0.298*N823</f>
        <v>0</v>
      </c>
      <c r="Q823" s="23">
        <f>0.00062*N823</f>
        <v>0</v>
      </c>
      <c r="R823" s="24"/>
      <c r="S823" s="25" t="s">
        <v>3409</v>
      </c>
      <c r="T823" s="25" t="s">
        <v>94</v>
      </c>
      <c r="U823" s="5"/>
      <c r="V823" s="5"/>
      <c r="W823" s="5" t="s">
        <v>46</v>
      </c>
      <c r="X823" s="5"/>
      <c r="Y823" s="5"/>
      <c r="Z823" s="5" t="str">
        <f>HYPERLINK("https://knigipp.ru/api/getInfo/image/576ecf65-199a-11ee-a23b-00155d82e902")</f>
        <v>https://knigipp.ru/api/getInfo/image/576ecf65-199a-11ee-a23b-00155d82e902</v>
      </c>
      <c r="AA823" s="33">
        <v>160</v>
      </c>
      <c r="AB823" s="5" t="s">
        <v>598</v>
      </c>
      <c r="AC823" s="5" t="s">
        <v>86</v>
      </c>
      <c r="AD823" s="33">
        <v>70</v>
      </c>
      <c r="AE823" s="5" t="s">
        <v>49</v>
      </c>
      <c r="AF823" s="5"/>
      <c r="AG823" s="5" t="s">
        <v>3389</v>
      </c>
      <c r="AH823" s="5" t="s">
        <v>1996</v>
      </c>
    </row>
    <row r="824" spans="2:34" ht="21" customHeight="1" outlineLevel="4" x14ac:dyDescent="0.2">
      <c r="B824" s="4">
        <v>612</v>
      </c>
      <c r="C824" s="5" t="s">
        <v>3410</v>
      </c>
      <c r="D824" s="5" t="s">
        <v>3411</v>
      </c>
      <c r="E824" s="6" t="s">
        <v>3412</v>
      </c>
      <c r="F824" s="10"/>
      <c r="G824" s="11" t="s">
        <v>3386</v>
      </c>
      <c r="H824" s="12">
        <v>10</v>
      </c>
      <c r="I824" s="13" t="s">
        <v>41</v>
      </c>
      <c r="J824" s="13"/>
      <c r="K824" s="13"/>
      <c r="L824" s="4">
        <v>3</v>
      </c>
      <c r="M824" s="14">
        <f>219*(1-P3/100)</f>
        <v>219</v>
      </c>
      <c r="N824" s="15"/>
      <c r="O824" s="13">
        <f t="shared" si="24"/>
        <v>0</v>
      </c>
      <c r="P824" s="22">
        <f>0.298*N824</f>
        <v>0</v>
      </c>
      <c r="Q824" s="23">
        <f>0.00053*N824</f>
        <v>0</v>
      </c>
      <c r="R824" s="24"/>
      <c r="S824" s="25" t="s">
        <v>3413</v>
      </c>
      <c r="T824" s="25" t="s">
        <v>94</v>
      </c>
      <c r="U824" s="5"/>
      <c r="V824" s="5"/>
      <c r="W824" s="5" t="s">
        <v>46</v>
      </c>
      <c r="X824" s="5"/>
      <c r="Y824" s="5"/>
      <c r="Z824" s="5" t="str">
        <f>HYPERLINK("https://knigipp.ru/api/getInfo/image/bb26a0a3-4547-11ed-a216-ac1f6b442185")</f>
        <v>https://knigipp.ru/api/getInfo/image/bb26a0a3-4547-11ed-a216-ac1f6b442185</v>
      </c>
      <c r="AA824" s="33">
        <v>160</v>
      </c>
      <c r="AB824" s="5" t="s">
        <v>598</v>
      </c>
      <c r="AC824" s="5" t="s">
        <v>86</v>
      </c>
      <c r="AD824" s="33">
        <v>70</v>
      </c>
      <c r="AE824" s="5" t="s">
        <v>49</v>
      </c>
      <c r="AF824" s="5"/>
      <c r="AG824" s="5" t="s">
        <v>3389</v>
      </c>
      <c r="AH824" s="5" t="s">
        <v>3414</v>
      </c>
    </row>
    <row r="825" spans="2:34" ht="21" customHeight="1" outlineLevel="4" x14ac:dyDescent="0.2">
      <c r="B825" s="4">
        <v>613</v>
      </c>
      <c r="C825" s="5" t="s">
        <v>3415</v>
      </c>
      <c r="D825" s="5" t="s">
        <v>3416</v>
      </c>
      <c r="E825" s="6" t="s">
        <v>3417</v>
      </c>
      <c r="F825" s="10"/>
      <c r="G825" s="11" t="s">
        <v>3386</v>
      </c>
      <c r="H825" s="12">
        <v>10</v>
      </c>
      <c r="I825" s="13" t="s">
        <v>41</v>
      </c>
      <c r="J825" s="13"/>
      <c r="K825" s="13"/>
      <c r="L825" s="4">
        <v>3</v>
      </c>
      <c r="M825" s="14">
        <f>219*(1-P3/100)</f>
        <v>219</v>
      </c>
      <c r="N825" s="15"/>
      <c r="O825" s="13">
        <f t="shared" si="24"/>
        <v>0</v>
      </c>
      <c r="P825" s="22">
        <f>0.303*N825</f>
        <v>0</v>
      </c>
      <c r="Q825" s="23">
        <f>0.00051*N825</f>
        <v>0</v>
      </c>
      <c r="R825" s="24"/>
      <c r="S825" s="25" t="s">
        <v>3418</v>
      </c>
      <c r="T825" s="25" t="s">
        <v>94</v>
      </c>
      <c r="U825" s="5"/>
      <c r="V825" s="5"/>
      <c r="W825" s="5" t="s">
        <v>46</v>
      </c>
      <c r="X825" s="5"/>
      <c r="Y825" s="5"/>
      <c r="Z825" s="5" t="str">
        <f>HYPERLINK("https://knigipp.ru/api/getInfo/image/7a05cfea-199a-11ee-a23b-00155d82e902")</f>
        <v>https://knigipp.ru/api/getInfo/image/7a05cfea-199a-11ee-a23b-00155d82e902</v>
      </c>
      <c r="AA825" s="33">
        <v>160</v>
      </c>
      <c r="AB825" s="5" t="s">
        <v>598</v>
      </c>
      <c r="AC825" s="5" t="s">
        <v>86</v>
      </c>
      <c r="AD825" s="33">
        <v>70</v>
      </c>
      <c r="AE825" s="5" t="s">
        <v>49</v>
      </c>
      <c r="AF825" s="5"/>
      <c r="AG825" s="5" t="s">
        <v>3389</v>
      </c>
      <c r="AH825" s="5" t="s">
        <v>1996</v>
      </c>
    </row>
    <row r="826" spans="2:34" ht="21" customHeight="1" outlineLevel="4" x14ac:dyDescent="0.2">
      <c r="B826" s="4">
        <v>614</v>
      </c>
      <c r="C826" s="5" t="s">
        <v>3419</v>
      </c>
      <c r="D826" s="5" t="s">
        <v>3420</v>
      </c>
      <c r="E826" s="6" t="s">
        <v>3421</v>
      </c>
      <c r="F826" s="10"/>
      <c r="G826" s="11" t="s">
        <v>3386</v>
      </c>
      <c r="H826" s="12">
        <v>10</v>
      </c>
      <c r="I826" s="13" t="s">
        <v>41</v>
      </c>
      <c r="J826" s="13"/>
      <c r="K826" s="13"/>
      <c r="L826" s="4">
        <v>3</v>
      </c>
      <c r="M826" s="14">
        <f>219*(1-P3/100)</f>
        <v>219</v>
      </c>
      <c r="N826" s="15"/>
      <c r="O826" s="13">
        <f t="shared" si="24"/>
        <v>0</v>
      </c>
      <c r="P826" s="22">
        <f>0.295*N826</f>
        <v>0</v>
      </c>
      <c r="Q826" s="23">
        <f>0.00059*N826</f>
        <v>0</v>
      </c>
      <c r="R826" s="24"/>
      <c r="S826" s="25" t="s">
        <v>3422</v>
      </c>
      <c r="T826" s="25" t="s">
        <v>94</v>
      </c>
      <c r="U826" s="5"/>
      <c r="V826" s="5"/>
      <c r="W826" s="5" t="s">
        <v>46</v>
      </c>
      <c r="X826" s="5"/>
      <c r="Y826" s="5"/>
      <c r="Z826" s="5" t="str">
        <f>HYPERLINK("https://knigipp.ru/api/getInfo/image/2fd7824a-199a-11ee-a23b-00155d82e902")</f>
        <v>https://knigipp.ru/api/getInfo/image/2fd7824a-199a-11ee-a23b-00155d82e902</v>
      </c>
      <c r="AA826" s="33">
        <v>160</v>
      </c>
      <c r="AB826" s="5" t="s">
        <v>598</v>
      </c>
      <c r="AC826" s="5" t="s">
        <v>86</v>
      </c>
      <c r="AD826" s="33">
        <v>70</v>
      </c>
      <c r="AE826" s="5" t="s">
        <v>49</v>
      </c>
      <c r="AF826" s="5"/>
      <c r="AG826" s="5" t="s">
        <v>3389</v>
      </c>
      <c r="AH826" s="5" t="s">
        <v>1996</v>
      </c>
    </row>
    <row r="827" spans="2:34" ht="21" customHeight="1" outlineLevel="4" x14ac:dyDescent="0.2">
      <c r="B827" s="4">
        <v>615</v>
      </c>
      <c r="C827" s="5" t="s">
        <v>3423</v>
      </c>
      <c r="D827" s="5" t="s">
        <v>3424</v>
      </c>
      <c r="E827" s="6" t="s">
        <v>3425</v>
      </c>
      <c r="F827" s="10"/>
      <c r="G827" s="11" t="s">
        <v>3386</v>
      </c>
      <c r="H827" s="12">
        <v>10</v>
      </c>
      <c r="I827" s="13" t="s">
        <v>41</v>
      </c>
      <c r="J827" s="13"/>
      <c r="K827" s="13"/>
      <c r="L827" s="4">
        <v>3</v>
      </c>
      <c r="M827" s="14">
        <f>219*(1-P3/100)</f>
        <v>219</v>
      </c>
      <c r="N827" s="15"/>
      <c r="O827" s="13">
        <f t="shared" si="24"/>
        <v>0</v>
      </c>
      <c r="P827" s="22">
        <f>0.295*N827</f>
        <v>0</v>
      </c>
      <c r="Q827" s="23">
        <f>0.00053*N827</f>
        <v>0</v>
      </c>
      <c r="R827" s="24"/>
      <c r="S827" s="25" t="s">
        <v>3426</v>
      </c>
      <c r="T827" s="25" t="s">
        <v>94</v>
      </c>
      <c r="U827" s="5"/>
      <c r="V827" s="5"/>
      <c r="W827" s="5" t="s">
        <v>46</v>
      </c>
      <c r="X827" s="5"/>
      <c r="Y827" s="5"/>
      <c r="Z827" s="5" t="str">
        <f>HYPERLINK("https://knigipp.ru/api/getInfo/image/626d21b8-4547-11ed-a216-ac1f6b442185")</f>
        <v>https://knigipp.ru/api/getInfo/image/626d21b8-4547-11ed-a216-ac1f6b442185</v>
      </c>
      <c r="AA827" s="33">
        <v>160</v>
      </c>
      <c r="AB827" s="5" t="s">
        <v>598</v>
      </c>
      <c r="AC827" s="5" t="s">
        <v>86</v>
      </c>
      <c r="AD827" s="33">
        <v>70</v>
      </c>
      <c r="AE827" s="5" t="s">
        <v>49</v>
      </c>
      <c r="AF827" s="5"/>
      <c r="AG827" s="5" t="s">
        <v>3389</v>
      </c>
      <c r="AH827" s="5" t="s">
        <v>1996</v>
      </c>
    </row>
    <row r="828" spans="2:34" ht="21" customHeight="1" outlineLevel="4" x14ac:dyDescent="0.2">
      <c r="B828" s="4">
        <v>616</v>
      </c>
      <c r="C828" s="5" t="s">
        <v>3427</v>
      </c>
      <c r="D828" s="5" t="s">
        <v>3428</v>
      </c>
      <c r="E828" s="6" t="s">
        <v>3429</v>
      </c>
      <c r="F828" s="10"/>
      <c r="G828" s="11" t="s">
        <v>3386</v>
      </c>
      <c r="H828" s="12">
        <v>10</v>
      </c>
      <c r="I828" s="13" t="s">
        <v>41</v>
      </c>
      <c r="J828" s="13"/>
      <c r="K828" s="13"/>
      <c r="L828" s="4">
        <v>3</v>
      </c>
      <c r="M828" s="14">
        <f>219*(1-P3/100)</f>
        <v>219</v>
      </c>
      <c r="N828" s="15"/>
      <c r="O828" s="13">
        <f t="shared" si="24"/>
        <v>0</v>
      </c>
      <c r="P828" s="22">
        <f>0.301*N828</f>
        <v>0</v>
      </c>
      <c r="Q828" s="23">
        <f>0.00049*N828</f>
        <v>0</v>
      </c>
      <c r="R828" s="24"/>
      <c r="S828" s="25" t="s">
        <v>3430</v>
      </c>
      <c r="T828" s="25" t="s">
        <v>94</v>
      </c>
      <c r="U828" s="5"/>
      <c r="V828" s="5"/>
      <c r="W828" s="5" t="s">
        <v>2731</v>
      </c>
      <c r="X828" s="5"/>
      <c r="Y828" s="5"/>
      <c r="Z828" s="5" t="str">
        <f>HYPERLINK("https://knigipp.ru/api/getInfo/image/a7d4584a-5225-11e9-a222-ac1f6b442184")</f>
        <v>https://knigipp.ru/api/getInfo/image/a7d4584a-5225-11e9-a222-ac1f6b442184</v>
      </c>
      <c r="AA828" s="33">
        <v>160</v>
      </c>
      <c r="AB828" s="5"/>
      <c r="AC828" s="5" t="s">
        <v>86</v>
      </c>
      <c r="AD828" s="33">
        <v>70</v>
      </c>
      <c r="AE828" s="5" t="s">
        <v>49</v>
      </c>
      <c r="AF828" s="5"/>
      <c r="AG828" s="5"/>
      <c r="AH828" s="5" t="s">
        <v>1996</v>
      </c>
    </row>
    <row r="829" spans="2:34" ht="21" customHeight="1" outlineLevel="4" x14ac:dyDescent="0.2">
      <c r="B829" s="4">
        <v>617</v>
      </c>
      <c r="C829" s="5" t="s">
        <v>3431</v>
      </c>
      <c r="D829" s="5" t="s">
        <v>3432</v>
      </c>
      <c r="E829" s="6" t="s">
        <v>3433</v>
      </c>
      <c r="F829" s="10"/>
      <c r="G829" s="11" t="s">
        <v>3386</v>
      </c>
      <c r="H829" s="12">
        <v>10</v>
      </c>
      <c r="I829" s="13" t="s">
        <v>41</v>
      </c>
      <c r="J829" s="13"/>
      <c r="K829" s="13"/>
      <c r="L829" s="4">
        <v>3</v>
      </c>
      <c r="M829" s="14">
        <f>219*(1-P3/100)</f>
        <v>219</v>
      </c>
      <c r="N829" s="15"/>
      <c r="O829" s="13">
        <f t="shared" si="24"/>
        <v>0</v>
      </c>
      <c r="P829" s="22">
        <f>0.306*N829</f>
        <v>0</v>
      </c>
      <c r="Q829" s="30">
        <f>0.0005*N829</f>
        <v>0</v>
      </c>
      <c r="R829" s="24"/>
      <c r="S829" s="25" t="s">
        <v>3434</v>
      </c>
      <c r="T829" s="25" t="s">
        <v>94</v>
      </c>
      <c r="U829" s="5"/>
      <c r="V829" s="5"/>
      <c r="W829" s="5" t="s">
        <v>2731</v>
      </c>
      <c r="X829" s="5"/>
      <c r="Y829" s="5"/>
      <c r="Z829" s="5" t="str">
        <f>HYPERLINK("https://knigipp.ru/api/getInfo/image/85747484-2f2b-11eb-a25d-ac1f6b442184")</f>
        <v>https://knigipp.ru/api/getInfo/image/85747484-2f2b-11eb-a25d-ac1f6b442184</v>
      </c>
      <c r="AA829" s="33">
        <v>160</v>
      </c>
      <c r="AB829" s="5"/>
      <c r="AC829" s="5" t="s">
        <v>86</v>
      </c>
      <c r="AD829" s="33">
        <v>70</v>
      </c>
      <c r="AE829" s="5" t="s">
        <v>49</v>
      </c>
      <c r="AF829" s="5"/>
      <c r="AG829" s="5" t="s">
        <v>3389</v>
      </c>
      <c r="AH829" s="5" t="s">
        <v>1996</v>
      </c>
    </row>
    <row r="830" spans="2:34" ht="21" customHeight="1" outlineLevel="4" x14ac:dyDescent="0.2">
      <c r="B830" s="4">
        <v>618</v>
      </c>
      <c r="C830" s="5" t="s">
        <v>3435</v>
      </c>
      <c r="D830" s="5" t="s">
        <v>3436</v>
      </c>
      <c r="E830" s="6" t="s">
        <v>3437</v>
      </c>
      <c r="F830" s="10"/>
      <c r="G830" s="11" t="s">
        <v>3386</v>
      </c>
      <c r="H830" s="12">
        <v>10</v>
      </c>
      <c r="I830" s="13" t="s">
        <v>41</v>
      </c>
      <c r="J830" s="13"/>
      <c r="K830" s="13"/>
      <c r="L830" s="4">
        <v>3</v>
      </c>
      <c r="M830" s="14">
        <f>219*(1-P3/100)</f>
        <v>219</v>
      </c>
      <c r="N830" s="15"/>
      <c r="O830" s="13">
        <f t="shared" si="24"/>
        <v>0</v>
      </c>
      <c r="P830" s="32">
        <f>0.29*N830</f>
        <v>0</v>
      </c>
      <c r="Q830" s="23">
        <f>0.00046*N830</f>
        <v>0</v>
      </c>
      <c r="R830" s="24"/>
      <c r="S830" s="25" t="s">
        <v>3438</v>
      </c>
      <c r="T830" s="25" t="s">
        <v>94</v>
      </c>
      <c r="U830" s="5"/>
      <c r="V830" s="5"/>
      <c r="W830" s="5" t="s">
        <v>46</v>
      </c>
      <c r="X830" s="5"/>
      <c r="Y830" s="5"/>
      <c r="Z830" s="5" t="str">
        <f>HYPERLINK("https://knigipp.ru/api/getInfo/image/2453354e-a1a4-11ea-a248-ac1f6b442184")</f>
        <v>https://knigipp.ru/api/getInfo/image/2453354e-a1a4-11ea-a248-ac1f6b442184</v>
      </c>
      <c r="AA830" s="33">
        <v>160</v>
      </c>
      <c r="AB830" s="5"/>
      <c r="AC830" s="5" t="s">
        <v>86</v>
      </c>
      <c r="AD830" s="33">
        <v>70</v>
      </c>
      <c r="AE830" s="5" t="s">
        <v>49</v>
      </c>
      <c r="AF830" s="5"/>
      <c r="AG830" s="5" t="s">
        <v>3389</v>
      </c>
      <c r="AH830" s="5" t="s">
        <v>1996</v>
      </c>
    </row>
    <row r="831" spans="2:34" ht="21" customHeight="1" outlineLevel="4" x14ac:dyDescent="0.2">
      <c r="B831" s="4">
        <v>619</v>
      </c>
      <c r="C831" s="5" t="s">
        <v>3439</v>
      </c>
      <c r="D831" s="5" t="s">
        <v>3440</v>
      </c>
      <c r="E831" s="6" t="s">
        <v>3441</v>
      </c>
      <c r="F831" s="10"/>
      <c r="G831" s="11" t="s">
        <v>3386</v>
      </c>
      <c r="H831" s="12">
        <v>10</v>
      </c>
      <c r="I831" s="13" t="s">
        <v>41</v>
      </c>
      <c r="J831" s="13"/>
      <c r="K831" s="13"/>
      <c r="L831" s="4">
        <v>3</v>
      </c>
      <c r="M831" s="14">
        <f>219*(1-P3/100)</f>
        <v>219</v>
      </c>
      <c r="N831" s="15"/>
      <c r="O831" s="13">
        <f t="shared" si="24"/>
        <v>0</v>
      </c>
      <c r="P831" s="22">
        <f>0.295*N831</f>
        <v>0</v>
      </c>
      <c r="Q831" s="23">
        <f>0.00053*N831</f>
        <v>0</v>
      </c>
      <c r="R831" s="24"/>
      <c r="S831" s="25" t="s">
        <v>3442</v>
      </c>
      <c r="T831" s="25" t="s">
        <v>94</v>
      </c>
      <c r="U831" s="5"/>
      <c r="V831" s="5"/>
      <c r="W831" s="5" t="s">
        <v>2731</v>
      </c>
      <c r="X831" s="5"/>
      <c r="Y831" s="5"/>
      <c r="Z831" s="5" t="str">
        <f>HYPERLINK("https://knigipp.ru/api/getInfo/image/ee6712f7-02e8-11eb-a255-ac1f6b442184")</f>
        <v>https://knigipp.ru/api/getInfo/image/ee6712f7-02e8-11eb-a255-ac1f6b442184</v>
      </c>
      <c r="AA831" s="33">
        <v>160</v>
      </c>
      <c r="AB831" s="5"/>
      <c r="AC831" s="5" t="s">
        <v>86</v>
      </c>
      <c r="AD831" s="33">
        <v>70</v>
      </c>
      <c r="AE831" s="5" t="s">
        <v>49</v>
      </c>
      <c r="AF831" s="5"/>
      <c r="AG831" s="5" t="s">
        <v>3389</v>
      </c>
      <c r="AH831" s="5" t="s">
        <v>1996</v>
      </c>
    </row>
    <row r="832" spans="2:34" ht="21" customHeight="1" outlineLevel="4" x14ac:dyDescent="0.2">
      <c r="B832" s="4">
        <v>620</v>
      </c>
      <c r="C832" s="5" t="s">
        <v>3443</v>
      </c>
      <c r="D832" s="5" t="s">
        <v>3444</v>
      </c>
      <c r="E832" s="6" t="s">
        <v>3445</v>
      </c>
      <c r="F832" s="10"/>
      <c r="G832" s="11" t="s">
        <v>3386</v>
      </c>
      <c r="H832" s="12">
        <v>10</v>
      </c>
      <c r="I832" s="13" t="s">
        <v>41</v>
      </c>
      <c r="J832" s="13"/>
      <c r="K832" s="13"/>
      <c r="L832" s="4">
        <v>3</v>
      </c>
      <c r="M832" s="14">
        <f>219*(1-P3/100)</f>
        <v>219</v>
      </c>
      <c r="N832" s="15"/>
      <c r="O832" s="13">
        <f t="shared" si="24"/>
        <v>0</v>
      </c>
      <c r="P832" s="13">
        <v>0</v>
      </c>
      <c r="Q832" s="13">
        <v>0</v>
      </c>
      <c r="R832" s="24"/>
      <c r="S832" s="25" t="s">
        <v>3446</v>
      </c>
      <c r="T832" s="25" t="s">
        <v>94</v>
      </c>
      <c r="U832" s="5"/>
      <c r="V832" s="5" t="s">
        <v>3447</v>
      </c>
      <c r="W832" s="5" t="s">
        <v>46</v>
      </c>
      <c r="X832" s="5"/>
      <c r="Y832" s="5"/>
      <c r="Z832" s="5" t="str">
        <f>HYPERLINK("https://knigipp.ru/api/getInfo/image/112bc167-bea5-11ee-a25a-00155d82e908")</f>
        <v>https://knigipp.ru/api/getInfo/image/112bc167-bea5-11ee-a25a-00155d82e908</v>
      </c>
      <c r="AA832" s="33">
        <v>160</v>
      </c>
      <c r="AB832" s="5" t="s">
        <v>574</v>
      </c>
      <c r="AC832" s="5" t="s">
        <v>86</v>
      </c>
      <c r="AD832" s="33">
        <v>70</v>
      </c>
      <c r="AE832" s="5" t="s">
        <v>49</v>
      </c>
      <c r="AF832" s="5"/>
      <c r="AG832" s="5" t="s">
        <v>3389</v>
      </c>
      <c r="AH832" s="5" t="s">
        <v>1996</v>
      </c>
    </row>
    <row r="833" spans="2:34" ht="21" customHeight="1" outlineLevel="4" x14ac:dyDescent="0.2">
      <c r="B833" s="4">
        <v>621</v>
      </c>
      <c r="C833" s="5" t="s">
        <v>3448</v>
      </c>
      <c r="D833" s="5" t="s">
        <v>3449</v>
      </c>
      <c r="E833" s="6" t="s">
        <v>3450</v>
      </c>
      <c r="F833" s="10"/>
      <c r="G833" s="11" t="s">
        <v>3386</v>
      </c>
      <c r="H833" s="12">
        <v>10</v>
      </c>
      <c r="I833" s="13" t="s">
        <v>41</v>
      </c>
      <c r="J833" s="13"/>
      <c r="K833" s="13"/>
      <c r="L833" s="4">
        <v>3</v>
      </c>
      <c r="M833" s="14">
        <f>219*(1-P3/100)</f>
        <v>219</v>
      </c>
      <c r="N833" s="15"/>
      <c r="O833" s="13">
        <f t="shared" si="24"/>
        <v>0</v>
      </c>
      <c r="P833" s="13">
        <v>0</v>
      </c>
      <c r="Q833" s="13">
        <v>0</v>
      </c>
      <c r="R833" s="24"/>
      <c r="S833" s="25" t="s">
        <v>3451</v>
      </c>
      <c r="T833" s="25" t="s">
        <v>94</v>
      </c>
      <c r="U833" s="5"/>
      <c r="V833" s="5" t="s">
        <v>3452</v>
      </c>
      <c r="W833" s="5" t="s">
        <v>46</v>
      </c>
      <c r="X833" s="5"/>
      <c r="Y833" s="5"/>
      <c r="Z833" s="5" t="str">
        <f>HYPERLINK("https://knigipp.ru/api/getInfo/image/9df1e709-bea4-11ee-a25a-00155d82e908")</f>
        <v>https://knigipp.ru/api/getInfo/image/9df1e709-bea4-11ee-a25a-00155d82e908</v>
      </c>
      <c r="AA833" s="33">
        <v>160</v>
      </c>
      <c r="AB833" s="5" t="s">
        <v>574</v>
      </c>
      <c r="AC833" s="5" t="s">
        <v>86</v>
      </c>
      <c r="AD833" s="33">
        <v>70</v>
      </c>
      <c r="AE833" s="5" t="s">
        <v>49</v>
      </c>
      <c r="AF833" s="5"/>
      <c r="AG833" s="5" t="s">
        <v>3389</v>
      </c>
      <c r="AH833" s="5" t="s">
        <v>1996</v>
      </c>
    </row>
    <row r="834" spans="2:34" ht="21" customHeight="1" outlineLevel="4" x14ac:dyDescent="0.2">
      <c r="B834" s="4">
        <v>622</v>
      </c>
      <c r="C834" s="5" t="s">
        <v>3453</v>
      </c>
      <c r="D834" s="5" t="s">
        <v>3454</v>
      </c>
      <c r="E834" s="6" t="s">
        <v>3455</v>
      </c>
      <c r="F834" s="10"/>
      <c r="G834" s="11" t="s">
        <v>3386</v>
      </c>
      <c r="H834" s="12">
        <v>10</v>
      </c>
      <c r="I834" s="13" t="s">
        <v>41</v>
      </c>
      <c r="J834" s="13"/>
      <c r="K834" s="13"/>
      <c r="L834" s="4">
        <v>3</v>
      </c>
      <c r="M834" s="14">
        <f>219*(1-P3/100)</f>
        <v>219</v>
      </c>
      <c r="N834" s="15"/>
      <c r="O834" s="13">
        <f t="shared" si="24"/>
        <v>0</v>
      </c>
      <c r="P834" s="32">
        <f>2.98*N834</f>
        <v>0</v>
      </c>
      <c r="Q834" s="23">
        <f>0.00435*N834</f>
        <v>0</v>
      </c>
      <c r="R834" s="24"/>
      <c r="S834" s="25" t="s">
        <v>3456</v>
      </c>
      <c r="T834" s="25" t="s">
        <v>94</v>
      </c>
      <c r="U834" s="5"/>
      <c r="V834" s="5"/>
      <c r="W834" s="5"/>
      <c r="X834" s="5"/>
      <c r="Y834" s="5"/>
      <c r="Z834" s="5" t="str">
        <f>HYPERLINK("https://knigipp.ru/api/getInfo/image/e936f8c5-e04c-11ed-a233-00155d82e902")</f>
        <v>https://knigipp.ru/api/getInfo/image/e936f8c5-e04c-11ed-a233-00155d82e902</v>
      </c>
      <c r="AA834" s="33">
        <v>160</v>
      </c>
      <c r="AB834" s="5" t="s">
        <v>574</v>
      </c>
      <c r="AC834" s="5" t="s">
        <v>86</v>
      </c>
      <c r="AD834" s="33">
        <v>70</v>
      </c>
      <c r="AE834" s="5" t="s">
        <v>49</v>
      </c>
      <c r="AF834" s="5"/>
      <c r="AG834" s="5" t="s">
        <v>3389</v>
      </c>
      <c r="AH834" s="5" t="s">
        <v>1996</v>
      </c>
    </row>
    <row r="835" spans="2:34" ht="21" customHeight="1" outlineLevel="4" x14ac:dyDescent="0.2">
      <c r="B835" s="4">
        <v>623</v>
      </c>
      <c r="C835" s="5" t="s">
        <v>3457</v>
      </c>
      <c r="D835" s="5" t="s">
        <v>3458</v>
      </c>
      <c r="E835" s="6" t="s">
        <v>3459</v>
      </c>
      <c r="F835" s="10"/>
      <c r="G835" s="11" t="s">
        <v>3460</v>
      </c>
      <c r="H835" s="12">
        <v>10</v>
      </c>
      <c r="I835" s="13" t="s">
        <v>41</v>
      </c>
      <c r="J835" s="13"/>
      <c r="K835" s="13"/>
      <c r="L835" s="4">
        <v>3</v>
      </c>
      <c r="M835" s="14">
        <f>219*(1-P3/100)</f>
        <v>219</v>
      </c>
      <c r="N835" s="15"/>
      <c r="O835" s="13">
        <f t="shared" si="24"/>
        <v>0</v>
      </c>
      <c r="P835" s="22">
        <f>0.245*N835</f>
        <v>0</v>
      </c>
      <c r="Q835" s="23">
        <f>0.00038*N835</f>
        <v>0</v>
      </c>
      <c r="R835" s="24"/>
      <c r="S835" s="25" t="s">
        <v>3461</v>
      </c>
      <c r="T835" s="25" t="s">
        <v>94</v>
      </c>
      <c r="U835" s="5"/>
      <c r="V835" s="5"/>
      <c r="W835" s="5" t="s">
        <v>2731</v>
      </c>
      <c r="X835" s="5"/>
      <c r="Y835" s="5"/>
      <c r="Z835" s="5" t="str">
        <f>HYPERLINK("https://knigipp.ru/api/getInfo/image/a75f39d1-a1a4-11ea-a248-ac1f6b442184")</f>
        <v>https://knigipp.ru/api/getInfo/image/a75f39d1-a1a4-11ea-a248-ac1f6b442184</v>
      </c>
      <c r="AA835" s="33">
        <v>160</v>
      </c>
      <c r="AB835" s="5"/>
      <c r="AC835" s="5" t="s">
        <v>86</v>
      </c>
      <c r="AD835" s="33">
        <v>70</v>
      </c>
      <c r="AE835" s="5" t="s">
        <v>49</v>
      </c>
      <c r="AF835" s="5"/>
      <c r="AG835" s="5" t="s">
        <v>3389</v>
      </c>
      <c r="AH835" s="5" t="s">
        <v>1996</v>
      </c>
    </row>
    <row r="836" spans="2:34" ht="21" customHeight="1" outlineLevel="4" x14ac:dyDescent="0.2">
      <c r="B836" s="4">
        <v>624</v>
      </c>
      <c r="C836" s="5" t="s">
        <v>3462</v>
      </c>
      <c r="D836" s="5" t="s">
        <v>3463</v>
      </c>
      <c r="E836" s="6" t="s">
        <v>3464</v>
      </c>
      <c r="F836" s="10"/>
      <c r="G836" s="11" t="s">
        <v>3386</v>
      </c>
      <c r="H836" s="12">
        <v>10</v>
      </c>
      <c r="I836" s="13" t="s">
        <v>41</v>
      </c>
      <c r="J836" s="13"/>
      <c r="K836" s="13"/>
      <c r="L836" s="4">
        <v>3</v>
      </c>
      <c r="M836" s="14">
        <f>219*(1-P3/100)</f>
        <v>219</v>
      </c>
      <c r="N836" s="15"/>
      <c r="O836" s="13">
        <f t="shared" si="24"/>
        <v>0</v>
      </c>
      <c r="P836" s="22">
        <f>0.301*N836</f>
        <v>0</v>
      </c>
      <c r="Q836" s="23">
        <f>0.00053*N836</f>
        <v>0</v>
      </c>
      <c r="R836" s="24"/>
      <c r="S836" s="25" t="s">
        <v>3465</v>
      </c>
      <c r="T836" s="25" t="s">
        <v>94</v>
      </c>
      <c r="U836" s="5"/>
      <c r="V836" s="5"/>
      <c r="W836" s="5" t="s">
        <v>46</v>
      </c>
      <c r="X836" s="5"/>
      <c r="Y836" s="5"/>
      <c r="Z836" s="5" t="str">
        <f>HYPERLINK("https://knigipp.ru/api/getInfo/image/5afddcee-a1a4-11ea-a248-ac1f6b442184")</f>
        <v>https://knigipp.ru/api/getInfo/image/5afddcee-a1a4-11ea-a248-ac1f6b442184</v>
      </c>
      <c r="AA836" s="33">
        <v>160</v>
      </c>
      <c r="AB836" s="5"/>
      <c r="AC836" s="5" t="s">
        <v>86</v>
      </c>
      <c r="AD836" s="33">
        <v>70</v>
      </c>
      <c r="AE836" s="5" t="s">
        <v>49</v>
      </c>
      <c r="AF836" s="5"/>
      <c r="AG836" s="5" t="s">
        <v>3389</v>
      </c>
      <c r="AH836" s="5" t="s">
        <v>1996</v>
      </c>
    </row>
    <row r="837" spans="2:34" ht="21" customHeight="1" outlineLevel="4" x14ac:dyDescent="0.2">
      <c r="B837" s="4">
        <v>625</v>
      </c>
      <c r="C837" s="5" t="s">
        <v>3466</v>
      </c>
      <c r="D837" s="5" t="s">
        <v>3467</v>
      </c>
      <c r="E837" s="6" t="s">
        <v>3468</v>
      </c>
      <c r="F837" s="10"/>
      <c r="G837" s="11" t="s">
        <v>3386</v>
      </c>
      <c r="H837" s="12">
        <v>10</v>
      </c>
      <c r="I837" s="13" t="s">
        <v>41</v>
      </c>
      <c r="J837" s="13"/>
      <c r="K837" s="13"/>
      <c r="L837" s="4">
        <v>3</v>
      </c>
      <c r="M837" s="14">
        <f>219*(1-P3/100)</f>
        <v>219</v>
      </c>
      <c r="N837" s="15"/>
      <c r="O837" s="13">
        <f t="shared" si="24"/>
        <v>0</v>
      </c>
      <c r="P837" s="22">
        <f>0.293*N837</f>
        <v>0</v>
      </c>
      <c r="Q837" s="23">
        <f>0.00047*N837</f>
        <v>0</v>
      </c>
      <c r="R837" s="24"/>
      <c r="S837" s="25" t="s">
        <v>3469</v>
      </c>
      <c r="T837" s="25" t="s">
        <v>94</v>
      </c>
      <c r="U837" s="5"/>
      <c r="V837" s="5" t="s">
        <v>3470</v>
      </c>
      <c r="W837" s="5" t="s">
        <v>46</v>
      </c>
      <c r="X837" s="5" t="s">
        <v>3471</v>
      </c>
      <c r="Y837" s="5"/>
      <c r="Z837" s="5" t="str">
        <f>HYPERLINK("https://knigipp.ru/api/getInfo/image/749829ee-977c-11ef-a267-00155d82e908")</f>
        <v>https://knigipp.ru/api/getInfo/image/749829ee-977c-11ef-a267-00155d82e908</v>
      </c>
      <c r="AA837" s="33">
        <v>160</v>
      </c>
      <c r="AB837" s="5" t="s">
        <v>574</v>
      </c>
      <c r="AC837" s="5" t="s">
        <v>86</v>
      </c>
      <c r="AD837" s="33">
        <v>70</v>
      </c>
      <c r="AE837" s="5" t="s">
        <v>49</v>
      </c>
      <c r="AF837" s="5"/>
      <c r="AG837" s="5" t="s">
        <v>3389</v>
      </c>
      <c r="AH837" s="5" t="s">
        <v>1996</v>
      </c>
    </row>
    <row r="838" spans="2:34" ht="21" customHeight="1" outlineLevel="4" x14ac:dyDescent="0.2">
      <c r="B838" s="4">
        <v>626</v>
      </c>
      <c r="C838" s="5" t="s">
        <v>3472</v>
      </c>
      <c r="D838" s="5" t="s">
        <v>3473</v>
      </c>
      <c r="E838" s="6" t="s">
        <v>3474</v>
      </c>
      <c r="F838" s="10"/>
      <c r="G838" s="11" t="s">
        <v>3386</v>
      </c>
      <c r="H838" s="12">
        <v>10</v>
      </c>
      <c r="I838" s="13" t="s">
        <v>41</v>
      </c>
      <c r="J838" s="13"/>
      <c r="K838" s="13"/>
      <c r="L838" s="4">
        <v>3</v>
      </c>
      <c r="M838" s="14">
        <f>219*(1-P3/100)</f>
        <v>219</v>
      </c>
      <c r="N838" s="15"/>
      <c r="O838" s="13">
        <f t="shared" si="24"/>
        <v>0</v>
      </c>
      <c r="P838" s="22">
        <f>0.292*N838</f>
        <v>0</v>
      </c>
      <c r="Q838" s="30">
        <f>0.0005*N838</f>
        <v>0</v>
      </c>
      <c r="R838" s="24"/>
      <c r="S838" s="25" t="s">
        <v>3475</v>
      </c>
      <c r="T838" s="25" t="s">
        <v>94</v>
      </c>
      <c r="U838" s="5"/>
      <c r="V838" s="5" t="s">
        <v>3476</v>
      </c>
      <c r="W838" s="5" t="s">
        <v>46</v>
      </c>
      <c r="X838" s="5"/>
      <c r="Y838" s="5"/>
      <c r="Z838" s="5" t="str">
        <f>HYPERLINK("https://knigipp.ru/api/getInfo/image/2481a778-b6cd-11ee-a25a-00155d82e908")</f>
        <v>https://knigipp.ru/api/getInfo/image/2481a778-b6cd-11ee-a25a-00155d82e908</v>
      </c>
      <c r="AA838" s="33">
        <v>160</v>
      </c>
      <c r="AB838" s="5" t="s">
        <v>574</v>
      </c>
      <c r="AC838" s="5" t="s">
        <v>86</v>
      </c>
      <c r="AD838" s="33">
        <v>70</v>
      </c>
      <c r="AE838" s="5" t="s">
        <v>49</v>
      </c>
      <c r="AF838" s="5"/>
      <c r="AG838" s="5" t="s">
        <v>3389</v>
      </c>
      <c r="AH838" s="5" t="s">
        <v>1996</v>
      </c>
    </row>
    <row r="839" spans="2:34" ht="21" customHeight="1" outlineLevel="4" x14ac:dyDescent="0.2">
      <c r="B839" s="4">
        <v>627</v>
      </c>
      <c r="C839" s="5" t="s">
        <v>3477</v>
      </c>
      <c r="D839" s="5" t="s">
        <v>3478</v>
      </c>
      <c r="E839" s="6" t="s">
        <v>3479</v>
      </c>
      <c r="F839" s="10"/>
      <c r="G839" s="11" t="s">
        <v>3386</v>
      </c>
      <c r="H839" s="12">
        <v>10</v>
      </c>
      <c r="I839" s="13" t="s">
        <v>41</v>
      </c>
      <c r="J839" s="13"/>
      <c r="K839" s="13"/>
      <c r="L839" s="4">
        <v>3</v>
      </c>
      <c r="M839" s="14">
        <f>219*(1-P3/100)</f>
        <v>219</v>
      </c>
      <c r="N839" s="15"/>
      <c r="O839" s="13">
        <f t="shared" si="24"/>
        <v>0</v>
      </c>
      <c r="P839" s="22">
        <f>0.305*N839</f>
        <v>0</v>
      </c>
      <c r="Q839" s="23">
        <f>0.00054*N839</f>
        <v>0</v>
      </c>
      <c r="R839" s="24"/>
      <c r="S839" s="25" t="s">
        <v>3480</v>
      </c>
      <c r="T839" s="25" t="s">
        <v>94</v>
      </c>
      <c r="U839" s="5"/>
      <c r="V839" s="5"/>
      <c r="W839" s="5" t="s">
        <v>46</v>
      </c>
      <c r="X839" s="5"/>
      <c r="Y839" s="5"/>
      <c r="Z839" s="5" t="str">
        <f>HYPERLINK("https://knigipp.ru/api/getInfo/image/058e68a1-e04d-11ed-a233-00155d82e902")</f>
        <v>https://knigipp.ru/api/getInfo/image/058e68a1-e04d-11ed-a233-00155d82e902</v>
      </c>
      <c r="AA839" s="33">
        <v>160</v>
      </c>
      <c r="AB839" s="5" t="s">
        <v>574</v>
      </c>
      <c r="AC839" s="5" t="s">
        <v>86</v>
      </c>
      <c r="AD839" s="33">
        <v>70</v>
      </c>
      <c r="AE839" s="5" t="s">
        <v>49</v>
      </c>
      <c r="AF839" s="5"/>
      <c r="AG839" s="5" t="s">
        <v>3389</v>
      </c>
      <c r="AH839" s="5" t="s">
        <v>1996</v>
      </c>
    </row>
    <row r="840" spans="2:34" ht="21" customHeight="1" outlineLevel="4" x14ac:dyDescent="0.2">
      <c r="B840" s="4">
        <v>628</v>
      </c>
      <c r="C840" s="5" t="s">
        <v>3481</v>
      </c>
      <c r="D840" s="5" t="s">
        <v>3482</v>
      </c>
      <c r="E840" s="6" t="s">
        <v>3483</v>
      </c>
      <c r="F840" s="10"/>
      <c r="G840" s="11" t="s">
        <v>3386</v>
      </c>
      <c r="H840" s="12">
        <v>10</v>
      </c>
      <c r="I840" s="13" t="s">
        <v>41</v>
      </c>
      <c r="J840" s="13"/>
      <c r="K840" s="13"/>
      <c r="L840" s="4">
        <v>3</v>
      </c>
      <c r="M840" s="14">
        <f>219*(1-P3/100)</f>
        <v>219</v>
      </c>
      <c r="N840" s="15"/>
      <c r="O840" s="13">
        <f t="shared" si="24"/>
        <v>0</v>
      </c>
      <c r="P840" s="22">
        <f>2.965*N840</f>
        <v>0</v>
      </c>
      <c r="Q840" s="23">
        <f>0.00493*N840</f>
        <v>0</v>
      </c>
      <c r="R840" s="24"/>
      <c r="S840" s="25" t="s">
        <v>3484</v>
      </c>
      <c r="T840" s="25" t="s">
        <v>94</v>
      </c>
      <c r="U840" s="5"/>
      <c r="V840" s="5" t="s">
        <v>3485</v>
      </c>
      <c r="W840" s="5" t="s">
        <v>46</v>
      </c>
      <c r="X840" s="5"/>
      <c r="Y840" s="5"/>
      <c r="Z840" s="5" t="str">
        <f>HYPERLINK("https://knigipp.ru/api/getInfo/image/81e59b80-b115-11ee-a259-00155d82e908")</f>
        <v>https://knigipp.ru/api/getInfo/image/81e59b80-b115-11ee-a259-00155d82e908</v>
      </c>
      <c r="AA840" s="33">
        <v>160</v>
      </c>
      <c r="AB840" s="5" t="s">
        <v>574</v>
      </c>
      <c r="AC840" s="5" t="s">
        <v>86</v>
      </c>
      <c r="AD840" s="33">
        <v>70</v>
      </c>
      <c r="AE840" s="5" t="s">
        <v>49</v>
      </c>
      <c r="AF840" s="5"/>
      <c r="AG840" s="5" t="s">
        <v>3389</v>
      </c>
      <c r="AH840" s="5" t="s">
        <v>1996</v>
      </c>
    </row>
    <row r="841" spans="2:34" ht="21" customHeight="1" outlineLevel="4" x14ac:dyDescent="0.2">
      <c r="B841" s="4">
        <v>629</v>
      </c>
      <c r="C841" s="5" t="s">
        <v>3486</v>
      </c>
      <c r="D841" s="5" t="s">
        <v>3487</v>
      </c>
      <c r="E841" s="6" t="s">
        <v>3488</v>
      </c>
      <c r="F841" s="10"/>
      <c r="G841" s="11" t="s">
        <v>3386</v>
      </c>
      <c r="H841" s="12">
        <v>10</v>
      </c>
      <c r="I841" s="13" t="s">
        <v>41</v>
      </c>
      <c r="J841" s="13"/>
      <c r="K841" s="13"/>
      <c r="L841" s="4">
        <v>3</v>
      </c>
      <c r="M841" s="14">
        <f>219*(1-P3/100)</f>
        <v>219</v>
      </c>
      <c r="N841" s="15"/>
      <c r="O841" s="13">
        <f t="shared" si="24"/>
        <v>0</v>
      </c>
      <c r="P841" s="22">
        <f>0.305*N841</f>
        <v>0</v>
      </c>
      <c r="Q841" s="23">
        <f>0.00056*N841</f>
        <v>0</v>
      </c>
      <c r="R841" s="24"/>
      <c r="S841" s="25" t="s">
        <v>3489</v>
      </c>
      <c r="T841" s="25" t="s">
        <v>94</v>
      </c>
      <c r="U841" s="5"/>
      <c r="V841" s="5"/>
      <c r="W841" s="5" t="s">
        <v>46</v>
      </c>
      <c r="X841" s="5"/>
      <c r="Y841" s="5"/>
      <c r="Z841" s="5" t="str">
        <f>HYPERLINK("https://knigipp.ru/api/getInfo/image/8010bc68-b6cd-11ee-a25a-00155d82e908")</f>
        <v>https://knigipp.ru/api/getInfo/image/8010bc68-b6cd-11ee-a25a-00155d82e908</v>
      </c>
      <c r="AA841" s="33">
        <v>160</v>
      </c>
      <c r="AB841" s="5" t="s">
        <v>574</v>
      </c>
      <c r="AC841" s="5" t="s">
        <v>86</v>
      </c>
      <c r="AD841" s="33">
        <v>70</v>
      </c>
      <c r="AE841" s="5" t="s">
        <v>49</v>
      </c>
      <c r="AF841" s="5"/>
      <c r="AG841" s="5" t="s">
        <v>3389</v>
      </c>
      <c r="AH841" s="5" t="s">
        <v>1996</v>
      </c>
    </row>
    <row r="842" spans="2:34" ht="21" customHeight="1" outlineLevel="4" x14ac:dyDescent="0.2">
      <c r="B842" s="4">
        <v>630</v>
      </c>
      <c r="C842" s="5" t="s">
        <v>3490</v>
      </c>
      <c r="D842" s="5" t="s">
        <v>3491</v>
      </c>
      <c r="E842" s="6" t="s">
        <v>3492</v>
      </c>
      <c r="F842" s="10"/>
      <c r="G842" s="11" t="s">
        <v>3386</v>
      </c>
      <c r="H842" s="12">
        <v>10</v>
      </c>
      <c r="I842" s="13" t="s">
        <v>41</v>
      </c>
      <c r="J842" s="13"/>
      <c r="K842" s="13"/>
      <c r="L842" s="4">
        <v>3</v>
      </c>
      <c r="M842" s="14">
        <f>219*(1-P3/100)</f>
        <v>219</v>
      </c>
      <c r="N842" s="15"/>
      <c r="O842" s="13">
        <f t="shared" si="24"/>
        <v>0</v>
      </c>
      <c r="P842" s="22">
        <f>0.295*N842</f>
        <v>0</v>
      </c>
      <c r="Q842" s="23">
        <f>0.00053*N842</f>
        <v>0</v>
      </c>
      <c r="R842" s="24"/>
      <c r="S842" s="25" t="s">
        <v>3493</v>
      </c>
      <c r="T842" s="25" t="s">
        <v>94</v>
      </c>
      <c r="U842" s="5"/>
      <c r="V842" s="5"/>
      <c r="W842" s="5" t="s">
        <v>46</v>
      </c>
      <c r="X842" s="5"/>
      <c r="Y842" s="5"/>
      <c r="Z842" s="5" t="str">
        <f>HYPERLINK("https://knigipp.ru/api/getInfo/image/53a0e3d2-b115-11ee-a259-00155d82e908")</f>
        <v>https://knigipp.ru/api/getInfo/image/53a0e3d2-b115-11ee-a259-00155d82e908</v>
      </c>
      <c r="AA842" s="33">
        <v>160</v>
      </c>
      <c r="AB842" s="5" t="s">
        <v>574</v>
      </c>
      <c r="AC842" s="5" t="s">
        <v>86</v>
      </c>
      <c r="AD842" s="33">
        <v>70</v>
      </c>
      <c r="AE842" s="5" t="s">
        <v>49</v>
      </c>
      <c r="AF842" s="5"/>
      <c r="AG842" s="5" t="s">
        <v>3389</v>
      </c>
      <c r="AH842" s="5" t="s">
        <v>1996</v>
      </c>
    </row>
    <row r="843" spans="2:34" ht="21" customHeight="1" outlineLevel="4" x14ac:dyDescent="0.2">
      <c r="B843" s="4">
        <v>631</v>
      </c>
      <c r="C843" s="5" t="s">
        <v>3494</v>
      </c>
      <c r="D843" s="5" t="s">
        <v>3495</v>
      </c>
      <c r="E843" s="6" t="s">
        <v>3496</v>
      </c>
      <c r="F843" s="10"/>
      <c r="G843" s="11" t="s">
        <v>3386</v>
      </c>
      <c r="H843" s="12">
        <v>10</v>
      </c>
      <c r="I843" s="13" t="s">
        <v>41</v>
      </c>
      <c r="J843" s="13"/>
      <c r="K843" s="13"/>
      <c r="L843" s="4">
        <v>3</v>
      </c>
      <c r="M843" s="14">
        <f>219*(1-P3/100)</f>
        <v>219</v>
      </c>
      <c r="N843" s="15"/>
      <c r="O843" s="13">
        <f t="shared" si="24"/>
        <v>0</v>
      </c>
      <c r="P843" s="22">
        <f>0.295*N843</f>
        <v>0</v>
      </c>
      <c r="Q843" s="23">
        <f>0.00053*N843</f>
        <v>0</v>
      </c>
      <c r="R843" s="24"/>
      <c r="S843" s="25" t="s">
        <v>3497</v>
      </c>
      <c r="T843" s="25" t="s">
        <v>94</v>
      </c>
      <c r="U843" s="5"/>
      <c r="V843" s="5" t="s">
        <v>3498</v>
      </c>
      <c r="W843" s="5" t="s">
        <v>46</v>
      </c>
      <c r="X843" s="5"/>
      <c r="Y843" s="5"/>
      <c r="Z843" s="5" t="str">
        <f>HYPERLINK("https://knigipp.ru/api/getInfo/image/3c1510bc-c4e2-11ef-a268-00155d82e908")</f>
        <v>https://knigipp.ru/api/getInfo/image/3c1510bc-c4e2-11ef-a268-00155d82e908</v>
      </c>
      <c r="AA843" s="33">
        <v>160</v>
      </c>
      <c r="AB843" s="5" t="s">
        <v>574</v>
      </c>
      <c r="AC843" s="5" t="s">
        <v>86</v>
      </c>
      <c r="AD843" s="33">
        <v>70</v>
      </c>
      <c r="AE843" s="5" t="s">
        <v>49</v>
      </c>
      <c r="AF843" s="5"/>
      <c r="AG843" s="5" t="s">
        <v>3389</v>
      </c>
      <c r="AH843" s="5" t="s">
        <v>1996</v>
      </c>
    </row>
    <row r="844" spans="2:34" ht="21" customHeight="1" outlineLevel="4" x14ac:dyDescent="0.2">
      <c r="B844" s="4">
        <v>632</v>
      </c>
      <c r="C844" s="5" t="s">
        <v>3499</v>
      </c>
      <c r="D844" s="5" t="s">
        <v>3500</v>
      </c>
      <c r="E844" s="6" t="s">
        <v>3501</v>
      </c>
      <c r="F844" s="10"/>
      <c r="G844" s="11" t="s">
        <v>3386</v>
      </c>
      <c r="H844" s="12">
        <v>10</v>
      </c>
      <c r="I844" s="13" t="s">
        <v>41</v>
      </c>
      <c r="J844" s="13"/>
      <c r="K844" s="13"/>
      <c r="L844" s="4">
        <v>3</v>
      </c>
      <c r="M844" s="14">
        <f>219*(1-P3/100)</f>
        <v>219</v>
      </c>
      <c r="N844" s="15"/>
      <c r="O844" s="13">
        <f t="shared" si="24"/>
        <v>0</v>
      </c>
      <c r="P844" s="22">
        <f>0.295*N844</f>
        <v>0</v>
      </c>
      <c r="Q844" s="23">
        <f>0.00053*N844</f>
        <v>0</v>
      </c>
      <c r="R844" s="24"/>
      <c r="S844" s="25" t="s">
        <v>3502</v>
      </c>
      <c r="T844" s="25" t="s">
        <v>94</v>
      </c>
      <c r="U844" s="5"/>
      <c r="V844" s="5"/>
      <c r="W844" s="5" t="s">
        <v>2731</v>
      </c>
      <c r="X844" s="5"/>
      <c r="Y844" s="5"/>
      <c r="Z844" s="5" t="str">
        <f>HYPERLINK("https://knigipp.ru/api/getInfo/image/53245e7a-e38d-11e9-a235-ac1f6b442184")</f>
        <v>https://knigipp.ru/api/getInfo/image/53245e7a-e38d-11e9-a235-ac1f6b442184</v>
      </c>
      <c r="AA844" s="33">
        <v>160</v>
      </c>
      <c r="AB844" s="5"/>
      <c r="AC844" s="5" t="s">
        <v>86</v>
      </c>
      <c r="AD844" s="33">
        <v>70</v>
      </c>
      <c r="AE844" s="5" t="s">
        <v>49</v>
      </c>
      <c r="AF844" s="5"/>
      <c r="AG844" s="5" t="s">
        <v>3389</v>
      </c>
      <c r="AH844" s="5" t="s">
        <v>1996</v>
      </c>
    </row>
    <row r="845" spans="2:34" ht="21" customHeight="1" outlineLevel="4" x14ac:dyDescent="0.2">
      <c r="B845" s="4">
        <v>633</v>
      </c>
      <c r="C845" s="5" t="s">
        <v>3503</v>
      </c>
      <c r="D845" s="5" t="s">
        <v>3504</v>
      </c>
      <c r="E845" s="6" t="s">
        <v>3505</v>
      </c>
      <c r="F845" s="10"/>
      <c r="G845" s="11" t="s">
        <v>3386</v>
      </c>
      <c r="H845" s="12">
        <v>10</v>
      </c>
      <c r="I845" s="13" t="s">
        <v>371</v>
      </c>
      <c r="J845" s="13"/>
      <c r="K845" s="13"/>
      <c r="L845" s="4">
        <v>3</v>
      </c>
      <c r="M845" s="14">
        <f>219*(1-P3/100)</f>
        <v>219</v>
      </c>
      <c r="N845" s="15"/>
      <c r="O845" s="13">
        <f t="shared" si="24"/>
        <v>0</v>
      </c>
      <c r="P845" s="22">
        <f>0.295*N845</f>
        <v>0</v>
      </c>
      <c r="Q845" s="23">
        <f>0.00053*N845</f>
        <v>0</v>
      </c>
      <c r="R845" s="24"/>
      <c r="S845" s="25" t="s">
        <v>3506</v>
      </c>
      <c r="T845" s="25" t="s">
        <v>94</v>
      </c>
      <c r="U845" s="5"/>
      <c r="V845" s="5"/>
      <c r="W845" s="5" t="s">
        <v>2731</v>
      </c>
      <c r="X845" s="5" t="s">
        <v>3507</v>
      </c>
      <c r="Y845" s="5"/>
      <c r="Z845" s="5" t="str">
        <f>HYPERLINK("https://knigipp.ru/api/getInfo/image/80376270-6986-11e8-84c9-5cf3fc4a2490")</f>
        <v>https://knigipp.ru/api/getInfo/image/80376270-6986-11e8-84c9-5cf3fc4a2490</v>
      </c>
      <c r="AA845" s="33">
        <v>160</v>
      </c>
      <c r="AB845" s="5"/>
      <c r="AC845" s="5" t="s">
        <v>86</v>
      </c>
      <c r="AD845" s="33">
        <v>70</v>
      </c>
      <c r="AE845" s="5" t="s">
        <v>49</v>
      </c>
      <c r="AF845" s="5"/>
      <c r="AG845" s="5" t="s">
        <v>3389</v>
      </c>
      <c r="AH845" s="5" t="s">
        <v>1996</v>
      </c>
    </row>
    <row r="846" spans="2:34" ht="21" customHeight="1" outlineLevel="4" x14ac:dyDescent="0.2">
      <c r="B846" s="4">
        <v>634</v>
      </c>
      <c r="C846" s="5" t="s">
        <v>3508</v>
      </c>
      <c r="D846" s="5" t="s">
        <v>3509</v>
      </c>
      <c r="E846" s="6" t="s">
        <v>3510</v>
      </c>
      <c r="F846" s="10"/>
      <c r="G846" s="11" t="s">
        <v>3386</v>
      </c>
      <c r="H846" s="12">
        <v>10</v>
      </c>
      <c r="I846" s="13" t="s">
        <v>41</v>
      </c>
      <c r="J846" s="13"/>
      <c r="K846" s="13"/>
      <c r="L846" s="4">
        <v>3</v>
      </c>
      <c r="M846" s="14">
        <f>219*(1-P3/100)</f>
        <v>219</v>
      </c>
      <c r="N846" s="15"/>
      <c r="O846" s="13">
        <f t="shared" si="24"/>
        <v>0</v>
      </c>
      <c r="P846" s="22">
        <f>0.298*N846</f>
        <v>0</v>
      </c>
      <c r="Q846" s="30">
        <f>0.0005*N846</f>
        <v>0</v>
      </c>
      <c r="R846" s="24"/>
      <c r="S846" s="25" t="s">
        <v>3511</v>
      </c>
      <c r="T846" s="25" t="s">
        <v>94</v>
      </c>
      <c r="U846" s="5"/>
      <c r="V846" s="5"/>
      <c r="W846" s="5" t="s">
        <v>2731</v>
      </c>
      <c r="X846" s="5"/>
      <c r="Y846" s="5"/>
      <c r="Z846" s="5" t="str">
        <f>HYPERLINK("https://knigipp.ru/api/getInfo/image/a2cfb1b9-257c-11ea-a239-ac1f6b442184")</f>
        <v>https://knigipp.ru/api/getInfo/image/a2cfb1b9-257c-11ea-a239-ac1f6b442184</v>
      </c>
      <c r="AA846" s="33">
        <v>160</v>
      </c>
      <c r="AB846" s="5"/>
      <c r="AC846" s="5" t="s">
        <v>86</v>
      </c>
      <c r="AD846" s="33">
        <v>70</v>
      </c>
      <c r="AE846" s="5" t="s">
        <v>49</v>
      </c>
      <c r="AF846" s="5"/>
      <c r="AG846" s="5" t="s">
        <v>3389</v>
      </c>
      <c r="AH846" s="5" t="s">
        <v>1996</v>
      </c>
    </row>
    <row r="847" spans="2:34" ht="21" customHeight="1" outlineLevel="4" x14ac:dyDescent="0.2">
      <c r="B847" s="4">
        <v>635</v>
      </c>
      <c r="C847" s="5" t="s">
        <v>3512</v>
      </c>
      <c r="D847" s="5" t="s">
        <v>3513</v>
      </c>
      <c r="E847" s="6" t="s">
        <v>3514</v>
      </c>
      <c r="F847" s="10"/>
      <c r="G847" s="11" t="s">
        <v>3386</v>
      </c>
      <c r="H847" s="12">
        <v>10</v>
      </c>
      <c r="I847" s="13" t="s">
        <v>371</v>
      </c>
      <c r="J847" s="13"/>
      <c r="K847" s="13"/>
      <c r="L847" s="4">
        <v>3</v>
      </c>
      <c r="M847" s="14">
        <f>219*(1-P3/100)</f>
        <v>219</v>
      </c>
      <c r="N847" s="15"/>
      <c r="O847" s="13">
        <f t="shared" si="24"/>
        <v>0</v>
      </c>
      <c r="P847" s="32">
        <f>0.25*N847</f>
        <v>0</v>
      </c>
      <c r="Q847" s="23">
        <f>0.00038*N847</f>
        <v>0</v>
      </c>
      <c r="R847" s="24"/>
      <c r="S847" s="25" t="s">
        <v>3515</v>
      </c>
      <c r="T847" s="25" t="s">
        <v>94</v>
      </c>
      <c r="U847" s="5"/>
      <c r="V847" s="5"/>
      <c r="W847" s="5" t="s">
        <v>2731</v>
      </c>
      <c r="X847" s="5"/>
      <c r="Y847" s="5"/>
      <c r="Z847" s="5" t="str">
        <f>HYPERLINK("https://knigipp.ru/api/getInfo/image/ceb640f5-d9ae-11eb-a209-ac1f6b442185")</f>
        <v>https://knigipp.ru/api/getInfo/image/ceb640f5-d9ae-11eb-a209-ac1f6b442185</v>
      </c>
      <c r="AA847" s="33">
        <v>160</v>
      </c>
      <c r="AB847" s="5"/>
      <c r="AC847" s="5" t="s">
        <v>86</v>
      </c>
      <c r="AD847" s="33">
        <v>70</v>
      </c>
      <c r="AE847" s="5" t="s">
        <v>49</v>
      </c>
      <c r="AF847" s="5"/>
      <c r="AG847" s="5" t="s">
        <v>3389</v>
      </c>
      <c r="AH847" s="5" t="s">
        <v>1996</v>
      </c>
    </row>
    <row r="848" spans="2:34" ht="21" customHeight="1" outlineLevel="4" x14ac:dyDescent="0.2">
      <c r="B848" s="4">
        <v>636</v>
      </c>
      <c r="C848" s="5" t="s">
        <v>3516</v>
      </c>
      <c r="D848" s="5" t="s">
        <v>3517</v>
      </c>
      <c r="E848" s="6" t="s">
        <v>3518</v>
      </c>
      <c r="F848" s="10"/>
      <c r="G848" s="11" t="s">
        <v>3386</v>
      </c>
      <c r="H848" s="12">
        <v>10</v>
      </c>
      <c r="I848" s="13" t="s">
        <v>41</v>
      </c>
      <c r="J848" s="13"/>
      <c r="K848" s="13"/>
      <c r="L848" s="4">
        <v>3</v>
      </c>
      <c r="M848" s="14">
        <f>219*(1-P3/100)</f>
        <v>219</v>
      </c>
      <c r="N848" s="15"/>
      <c r="O848" s="13">
        <f t="shared" si="24"/>
        <v>0</v>
      </c>
      <c r="P848" s="22">
        <f>0.295*N848</f>
        <v>0</v>
      </c>
      <c r="Q848" s="23">
        <f>0.00053*N848</f>
        <v>0</v>
      </c>
      <c r="R848" s="24"/>
      <c r="S848" s="25" t="s">
        <v>3519</v>
      </c>
      <c r="T848" s="25" t="s">
        <v>94</v>
      </c>
      <c r="U848" s="5"/>
      <c r="V848" s="5"/>
      <c r="W848" s="5" t="s">
        <v>46</v>
      </c>
      <c r="X848" s="5"/>
      <c r="Y848" s="5"/>
      <c r="Z848" s="5" t="str">
        <f>HYPERLINK("https://knigipp.ru/api/getInfo/image/dcbd25f6-1999-11ee-a23b-00155d82e902")</f>
        <v>https://knigipp.ru/api/getInfo/image/dcbd25f6-1999-11ee-a23b-00155d82e902</v>
      </c>
      <c r="AA848" s="33">
        <v>160</v>
      </c>
      <c r="AB848" s="5" t="s">
        <v>574</v>
      </c>
      <c r="AC848" s="5" t="s">
        <v>86</v>
      </c>
      <c r="AD848" s="33">
        <v>70</v>
      </c>
      <c r="AE848" s="5" t="s">
        <v>49</v>
      </c>
      <c r="AF848" s="5"/>
      <c r="AG848" s="5" t="s">
        <v>3389</v>
      </c>
      <c r="AH848" s="5" t="s">
        <v>1996</v>
      </c>
    </row>
    <row r="849" spans="2:34" ht="21" customHeight="1" outlineLevel="4" x14ac:dyDescent="0.2">
      <c r="B849" s="4">
        <v>637</v>
      </c>
      <c r="C849" s="5" t="s">
        <v>3520</v>
      </c>
      <c r="D849" s="5" t="s">
        <v>3521</v>
      </c>
      <c r="E849" s="6" t="s">
        <v>3522</v>
      </c>
      <c r="F849" s="10"/>
      <c r="G849" s="11" t="s">
        <v>3386</v>
      </c>
      <c r="H849" s="12">
        <v>10</v>
      </c>
      <c r="I849" s="13" t="s">
        <v>41</v>
      </c>
      <c r="J849" s="13"/>
      <c r="K849" s="13"/>
      <c r="L849" s="4">
        <v>3</v>
      </c>
      <c r="M849" s="14">
        <f>219*(1-P3/100)</f>
        <v>219</v>
      </c>
      <c r="N849" s="15"/>
      <c r="O849" s="13">
        <f t="shared" si="24"/>
        <v>0</v>
      </c>
      <c r="P849" s="22">
        <f>0.287*N849</f>
        <v>0</v>
      </c>
      <c r="Q849" s="23">
        <f>0.00055*N849</f>
        <v>0</v>
      </c>
      <c r="R849" s="24"/>
      <c r="S849" s="25" t="s">
        <v>3523</v>
      </c>
      <c r="T849" s="25" t="s">
        <v>94</v>
      </c>
      <c r="U849" s="5"/>
      <c r="V849" s="5"/>
      <c r="W849" s="5"/>
      <c r="X849" s="5"/>
      <c r="Y849" s="5"/>
      <c r="Z849" s="5" t="str">
        <f>HYPERLINK("https://knigipp.ru/api/getInfo/image/0bad5344-3dc9-11ee-a241-00155d82e902")</f>
        <v>https://knigipp.ru/api/getInfo/image/0bad5344-3dc9-11ee-a241-00155d82e902</v>
      </c>
      <c r="AA849" s="33">
        <v>160</v>
      </c>
      <c r="AB849" s="5"/>
      <c r="AC849" s="5" t="s">
        <v>86</v>
      </c>
      <c r="AD849" s="33">
        <v>70</v>
      </c>
      <c r="AE849" s="5" t="s">
        <v>49</v>
      </c>
      <c r="AF849" s="5"/>
      <c r="AG849" s="5" t="s">
        <v>3389</v>
      </c>
      <c r="AH849" s="5" t="s">
        <v>1996</v>
      </c>
    </row>
    <row r="850" spans="2:34" ht="21" customHeight="1" outlineLevel="4" x14ac:dyDescent="0.2">
      <c r="B850" s="4">
        <v>638</v>
      </c>
      <c r="C850" s="5" t="s">
        <v>3524</v>
      </c>
      <c r="D850" s="5" t="s">
        <v>3525</v>
      </c>
      <c r="E850" s="6" t="s">
        <v>3526</v>
      </c>
      <c r="F850" s="10"/>
      <c r="G850" s="11" t="s">
        <v>3386</v>
      </c>
      <c r="H850" s="12">
        <v>10</v>
      </c>
      <c r="I850" s="13" t="s">
        <v>41</v>
      </c>
      <c r="J850" s="13"/>
      <c r="K850" s="13"/>
      <c r="L850" s="4">
        <v>3</v>
      </c>
      <c r="M850" s="14">
        <f>219*(1-P3/100)</f>
        <v>219</v>
      </c>
      <c r="N850" s="15"/>
      <c r="O850" s="13">
        <f t="shared" si="24"/>
        <v>0</v>
      </c>
      <c r="P850" s="22">
        <f>0.301*N850</f>
        <v>0</v>
      </c>
      <c r="Q850" s="30">
        <f>0.0005*N850</f>
        <v>0</v>
      </c>
      <c r="R850" s="24"/>
      <c r="S850" s="25" t="s">
        <v>3527</v>
      </c>
      <c r="T850" s="25" t="s">
        <v>94</v>
      </c>
      <c r="U850" s="5"/>
      <c r="V850" s="5"/>
      <c r="W850" s="5" t="s">
        <v>2731</v>
      </c>
      <c r="X850" s="5"/>
      <c r="Y850" s="5"/>
      <c r="Z850" s="5" t="str">
        <f>HYPERLINK("https://knigipp.ru/api/getInfo/image/776f63b4-2f2c-11eb-a25d-ac1f6b442184")</f>
        <v>https://knigipp.ru/api/getInfo/image/776f63b4-2f2c-11eb-a25d-ac1f6b442184</v>
      </c>
      <c r="AA850" s="33">
        <v>160</v>
      </c>
      <c r="AB850" s="5"/>
      <c r="AC850" s="5" t="s">
        <v>86</v>
      </c>
      <c r="AD850" s="33">
        <v>70</v>
      </c>
      <c r="AE850" s="5" t="s">
        <v>49</v>
      </c>
      <c r="AF850" s="5"/>
      <c r="AG850" s="5" t="s">
        <v>3389</v>
      </c>
      <c r="AH850" s="5" t="s">
        <v>1996</v>
      </c>
    </row>
    <row r="851" spans="2:34" ht="21" customHeight="1" outlineLevel="4" x14ac:dyDescent="0.2">
      <c r="B851" s="4">
        <v>639</v>
      </c>
      <c r="C851" s="5" t="s">
        <v>3528</v>
      </c>
      <c r="D851" s="5" t="s">
        <v>3529</v>
      </c>
      <c r="E851" s="6" t="s">
        <v>3530</v>
      </c>
      <c r="F851" s="10"/>
      <c r="G851" s="11" t="s">
        <v>3386</v>
      </c>
      <c r="H851" s="12">
        <v>10</v>
      </c>
      <c r="I851" s="13" t="s">
        <v>41</v>
      </c>
      <c r="J851" s="13"/>
      <c r="K851" s="13"/>
      <c r="L851" s="4">
        <v>3</v>
      </c>
      <c r="M851" s="14">
        <f>219*(1-P3/100)</f>
        <v>219</v>
      </c>
      <c r="N851" s="15"/>
      <c r="O851" s="13">
        <f t="shared" si="24"/>
        <v>0</v>
      </c>
      <c r="P851" s="22">
        <f>0.295*N851</f>
        <v>0</v>
      </c>
      <c r="Q851" s="23">
        <f>0.00053*N851</f>
        <v>0</v>
      </c>
      <c r="R851" s="24"/>
      <c r="S851" s="25" t="s">
        <v>3531</v>
      </c>
      <c r="T851" s="25" t="s">
        <v>94</v>
      </c>
      <c r="U851" s="5"/>
      <c r="V851" s="5" t="s">
        <v>3532</v>
      </c>
      <c r="W851" s="5" t="s">
        <v>46</v>
      </c>
      <c r="X851" s="5" t="s">
        <v>3533</v>
      </c>
      <c r="Y851" s="5"/>
      <c r="Z851" s="5" t="str">
        <f>HYPERLINK("https://knigipp.ru/api/getInfo/image/b90a4242-e1f8-11ee-a25a-00155d82e908")</f>
        <v>https://knigipp.ru/api/getInfo/image/b90a4242-e1f8-11ee-a25a-00155d82e908</v>
      </c>
      <c r="AA851" s="33">
        <v>160</v>
      </c>
      <c r="AB851" s="5" t="s">
        <v>574</v>
      </c>
      <c r="AC851" s="5" t="s">
        <v>86</v>
      </c>
      <c r="AD851" s="33">
        <v>70</v>
      </c>
      <c r="AE851" s="5" t="s">
        <v>49</v>
      </c>
      <c r="AF851" s="5"/>
      <c r="AG851" s="5" t="s">
        <v>3389</v>
      </c>
      <c r="AH851" s="5" t="s">
        <v>1996</v>
      </c>
    </row>
    <row r="852" spans="2:34" ht="21" customHeight="1" outlineLevel="4" x14ac:dyDescent="0.2">
      <c r="B852" s="4">
        <v>640</v>
      </c>
      <c r="C852" s="5" t="s">
        <v>3534</v>
      </c>
      <c r="D852" s="5" t="s">
        <v>3535</v>
      </c>
      <c r="E852" s="6" t="s">
        <v>3536</v>
      </c>
      <c r="F852" s="10"/>
      <c r="G852" s="11" t="s">
        <v>3386</v>
      </c>
      <c r="H852" s="12">
        <v>10</v>
      </c>
      <c r="I852" s="13" t="s">
        <v>41</v>
      </c>
      <c r="J852" s="13"/>
      <c r="K852" s="13"/>
      <c r="L852" s="4">
        <v>3</v>
      </c>
      <c r="M852" s="14">
        <f>219*(1-P3/100)</f>
        <v>219</v>
      </c>
      <c r="N852" s="15"/>
      <c r="O852" s="13">
        <f t="shared" si="24"/>
        <v>0</v>
      </c>
      <c r="P852" s="22">
        <f>0.303*N852</f>
        <v>0</v>
      </c>
      <c r="Q852" s="23">
        <f>0.00046*N852</f>
        <v>0</v>
      </c>
      <c r="R852" s="24"/>
      <c r="S852" s="25" t="s">
        <v>3537</v>
      </c>
      <c r="T852" s="25" t="s">
        <v>94</v>
      </c>
      <c r="U852" s="5"/>
      <c r="V852" s="5"/>
      <c r="W852" s="5" t="s">
        <v>46</v>
      </c>
      <c r="X852" s="5"/>
      <c r="Y852" s="5"/>
      <c r="Z852" s="5" t="str">
        <f>HYPERLINK("https://knigipp.ru/api/getInfo/image/006b151a-199a-11ee-a23b-00155d82e902")</f>
        <v>https://knigipp.ru/api/getInfo/image/006b151a-199a-11ee-a23b-00155d82e902</v>
      </c>
      <c r="AA852" s="33">
        <v>160</v>
      </c>
      <c r="AB852" s="5" t="s">
        <v>574</v>
      </c>
      <c r="AC852" s="5" t="s">
        <v>86</v>
      </c>
      <c r="AD852" s="33">
        <v>70</v>
      </c>
      <c r="AE852" s="5" t="s">
        <v>49</v>
      </c>
      <c r="AF852" s="5"/>
      <c r="AG852" s="5" t="s">
        <v>3389</v>
      </c>
      <c r="AH852" s="5" t="s">
        <v>1996</v>
      </c>
    </row>
    <row r="853" spans="2:34" ht="21" customHeight="1" outlineLevel="4" x14ac:dyDescent="0.2">
      <c r="B853" s="4">
        <v>641</v>
      </c>
      <c r="C853" s="5" t="s">
        <v>3538</v>
      </c>
      <c r="D853" s="5" t="s">
        <v>3539</v>
      </c>
      <c r="E853" s="6" t="s">
        <v>3540</v>
      </c>
      <c r="F853" s="10"/>
      <c r="G853" s="11" t="s">
        <v>3386</v>
      </c>
      <c r="H853" s="12">
        <v>10</v>
      </c>
      <c r="I853" s="13" t="s">
        <v>41</v>
      </c>
      <c r="J853" s="13"/>
      <c r="K853" s="13"/>
      <c r="L853" s="4">
        <v>3</v>
      </c>
      <c r="M853" s="14">
        <f>219*(1-P3/100)</f>
        <v>219</v>
      </c>
      <c r="N853" s="15"/>
      <c r="O853" s="13">
        <f t="shared" si="24"/>
        <v>0</v>
      </c>
      <c r="P853" s="22">
        <f>0.295*N853</f>
        <v>0</v>
      </c>
      <c r="Q853" s="23">
        <f>0.00053*N853</f>
        <v>0</v>
      </c>
      <c r="R853" s="24"/>
      <c r="S853" s="25" t="s">
        <v>3541</v>
      </c>
      <c r="T853" s="25" t="s">
        <v>94</v>
      </c>
      <c r="U853" s="5"/>
      <c r="V853" s="5"/>
      <c r="W853" s="5" t="s">
        <v>46</v>
      </c>
      <c r="X853" s="5"/>
      <c r="Y853" s="5"/>
      <c r="Z853" s="5" t="str">
        <f>HYPERLINK("https://knigipp.ru/api/getInfo/image/7f2f2d68-e1f9-11ee-a25a-00155d82e908")</f>
        <v>https://knigipp.ru/api/getInfo/image/7f2f2d68-e1f9-11ee-a25a-00155d82e908</v>
      </c>
      <c r="AA853" s="33">
        <v>160</v>
      </c>
      <c r="AB853" s="5" t="s">
        <v>574</v>
      </c>
      <c r="AC853" s="5" t="s">
        <v>86</v>
      </c>
      <c r="AD853" s="33">
        <v>70</v>
      </c>
      <c r="AE853" s="5" t="s">
        <v>49</v>
      </c>
      <c r="AF853" s="5"/>
      <c r="AG853" s="5" t="s">
        <v>3389</v>
      </c>
      <c r="AH853" s="5" t="s">
        <v>1996</v>
      </c>
    </row>
    <row r="854" spans="2:34" ht="21" customHeight="1" outlineLevel="4" x14ac:dyDescent="0.2">
      <c r="B854" s="4">
        <v>642</v>
      </c>
      <c r="C854" s="5" t="s">
        <v>3542</v>
      </c>
      <c r="D854" s="5" t="s">
        <v>3543</v>
      </c>
      <c r="E854" s="6" t="s">
        <v>3544</v>
      </c>
      <c r="F854" s="10"/>
      <c r="G854" s="11" t="s">
        <v>3386</v>
      </c>
      <c r="H854" s="12">
        <v>10</v>
      </c>
      <c r="I854" s="13" t="s">
        <v>41</v>
      </c>
      <c r="J854" s="13"/>
      <c r="K854" s="13"/>
      <c r="L854" s="4">
        <v>3</v>
      </c>
      <c r="M854" s="14">
        <f>219*(1-P3/100)</f>
        <v>219</v>
      </c>
      <c r="N854" s="15"/>
      <c r="O854" s="13">
        <f t="shared" si="24"/>
        <v>0</v>
      </c>
      <c r="P854" s="22">
        <f>0.292*N854</f>
        <v>0</v>
      </c>
      <c r="Q854" s="23">
        <f>0.00059*N854</f>
        <v>0</v>
      </c>
      <c r="R854" s="24"/>
      <c r="S854" s="25" t="s">
        <v>3545</v>
      </c>
      <c r="T854" s="25" t="s">
        <v>94</v>
      </c>
      <c r="U854" s="5"/>
      <c r="V854" s="5"/>
      <c r="W854" s="5" t="s">
        <v>2731</v>
      </c>
      <c r="X854" s="5"/>
      <c r="Y854" s="5"/>
      <c r="Z854" s="5" t="str">
        <f>HYPERLINK("https://knigipp.ru/api/getInfo/image/f8a23407-9648-11ec-a211-ac1f6b442185")</f>
        <v>https://knigipp.ru/api/getInfo/image/f8a23407-9648-11ec-a211-ac1f6b442185</v>
      </c>
      <c r="AA854" s="33">
        <v>160</v>
      </c>
      <c r="AB854" s="5"/>
      <c r="AC854" s="5" t="s">
        <v>86</v>
      </c>
      <c r="AD854" s="33">
        <v>70</v>
      </c>
      <c r="AE854" s="5" t="s">
        <v>49</v>
      </c>
      <c r="AF854" s="5"/>
      <c r="AG854" s="5" t="s">
        <v>3389</v>
      </c>
      <c r="AH854" s="5" t="s">
        <v>1996</v>
      </c>
    </row>
    <row r="855" spans="2:34" ht="21" customHeight="1" outlineLevel="4" x14ac:dyDescent="0.2">
      <c r="B855" s="4">
        <v>643</v>
      </c>
      <c r="C855" s="5" t="s">
        <v>3546</v>
      </c>
      <c r="D855" s="5" t="s">
        <v>3547</v>
      </c>
      <c r="E855" s="6" t="s">
        <v>3548</v>
      </c>
      <c r="F855" s="10"/>
      <c r="G855" s="11" t="s">
        <v>3386</v>
      </c>
      <c r="H855" s="12">
        <v>10</v>
      </c>
      <c r="I855" s="13" t="s">
        <v>41</v>
      </c>
      <c r="J855" s="13"/>
      <c r="K855" s="13"/>
      <c r="L855" s="4">
        <v>3</v>
      </c>
      <c r="M855" s="14">
        <f>219*(1-P3/100)</f>
        <v>219</v>
      </c>
      <c r="N855" s="15"/>
      <c r="O855" s="13">
        <f t="shared" si="24"/>
        <v>0</v>
      </c>
      <c r="P855" s="22">
        <f>0.296*N855</f>
        <v>0</v>
      </c>
      <c r="Q855" s="23">
        <f>0.00058*N855</f>
        <v>0</v>
      </c>
      <c r="R855" s="24"/>
      <c r="S855" s="25" t="s">
        <v>3549</v>
      </c>
      <c r="T855" s="25" t="s">
        <v>94</v>
      </c>
      <c r="U855" s="5"/>
      <c r="V855" s="5"/>
      <c r="W855" s="5"/>
      <c r="X855" s="5"/>
      <c r="Y855" s="5"/>
      <c r="Z855" s="5" t="str">
        <f>HYPERLINK("https://knigipp.ru/api/getInfo/image/c1c9fcbc-3dc9-11ee-a241-00155d82e902")</f>
        <v>https://knigipp.ru/api/getInfo/image/c1c9fcbc-3dc9-11ee-a241-00155d82e902</v>
      </c>
      <c r="AA855" s="33">
        <v>160</v>
      </c>
      <c r="AB855" s="5"/>
      <c r="AC855" s="5" t="s">
        <v>86</v>
      </c>
      <c r="AD855" s="33">
        <v>70</v>
      </c>
      <c r="AE855" s="5" t="s">
        <v>49</v>
      </c>
      <c r="AF855" s="5"/>
      <c r="AG855" s="5" t="s">
        <v>3389</v>
      </c>
      <c r="AH855" s="5" t="s">
        <v>1996</v>
      </c>
    </row>
    <row r="856" spans="2:34" ht="21" customHeight="1" outlineLevel="4" x14ac:dyDescent="0.2">
      <c r="B856" s="4">
        <v>644</v>
      </c>
      <c r="C856" s="5" t="s">
        <v>3550</v>
      </c>
      <c r="D856" s="5" t="s">
        <v>3551</v>
      </c>
      <c r="E856" s="6" t="s">
        <v>3552</v>
      </c>
      <c r="F856" s="10"/>
      <c r="G856" s="11" t="s">
        <v>3386</v>
      </c>
      <c r="H856" s="12">
        <v>10</v>
      </c>
      <c r="I856" s="13" t="s">
        <v>41</v>
      </c>
      <c r="J856" s="13"/>
      <c r="K856" s="13"/>
      <c r="L856" s="4">
        <v>3</v>
      </c>
      <c r="M856" s="14">
        <f>219*(1-P3/100)</f>
        <v>219</v>
      </c>
      <c r="N856" s="15"/>
      <c r="O856" s="13">
        <f t="shared" si="24"/>
        <v>0</v>
      </c>
      <c r="P856" s="22">
        <f>0.295*N856</f>
        <v>0</v>
      </c>
      <c r="Q856" s="23">
        <f>0.00053*N856</f>
        <v>0</v>
      </c>
      <c r="R856" s="24"/>
      <c r="S856" s="25" t="s">
        <v>3553</v>
      </c>
      <c r="T856" s="25" t="s">
        <v>94</v>
      </c>
      <c r="U856" s="5"/>
      <c r="V856" s="5"/>
      <c r="W856" s="5"/>
      <c r="X856" s="5"/>
      <c r="Y856" s="5"/>
      <c r="Z856" s="5" t="str">
        <f>HYPERLINK("https://knigipp.ru/api/getInfo/image/1414f56d-3dca-11ee-a241-00155d82e902")</f>
        <v>https://knigipp.ru/api/getInfo/image/1414f56d-3dca-11ee-a241-00155d82e902</v>
      </c>
      <c r="AA856" s="33">
        <v>160</v>
      </c>
      <c r="AB856" s="5"/>
      <c r="AC856" s="5" t="s">
        <v>86</v>
      </c>
      <c r="AD856" s="33">
        <v>70</v>
      </c>
      <c r="AE856" s="5" t="s">
        <v>49</v>
      </c>
      <c r="AF856" s="5"/>
      <c r="AG856" s="5" t="s">
        <v>3389</v>
      </c>
      <c r="AH856" s="5" t="s">
        <v>1996</v>
      </c>
    </row>
    <row r="857" spans="2:34" ht="21" customHeight="1" outlineLevel="4" x14ac:dyDescent="0.2">
      <c r="B857" s="4">
        <v>645</v>
      </c>
      <c r="C857" s="5" t="s">
        <v>3554</v>
      </c>
      <c r="D857" s="5" t="s">
        <v>3555</v>
      </c>
      <c r="E857" s="6" t="s">
        <v>3556</v>
      </c>
      <c r="F857" s="10"/>
      <c r="G857" s="11" t="s">
        <v>3386</v>
      </c>
      <c r="H857" s="12">
        <v>10</v>
      </c>
      <c r="I857" s="13" t="s">
        <v>41</v>
      </c>
      <c r="J857" s="13"/>
      <c r="K857" s="13"/>
      <c r="L857" s="4">
        <v>3</v>
      </c>
      <c r="M857" s="14">
        <f>219*(1-P3/100)</f>
        <v>219</v>
      </c>
      <c r="N857" s="15"/>
      <c r="O857" s="13">
        <f t="shared" si="24"/>
        <v>0</v>
      </c>
      <c r="P857" s="22">
        <f>0.295*N857</f>
        <v>0</v>
      </c>
      <c r="Q857" s="23">
        <f>0.00053*N857</f>
        <v>0</v>
      </c>
      <c r="R857" s="24"/>
      <c r="S857" s="25" t="s">
        <v>3557</v>
      </c>
      <c r="T857" s="25" t="s">
        <v>94</v>
      </c>
      <c r="U857" s="5"/>
      <c r="V857" s="5"/>
      <c r="W857" s="5" t="s">
        <v>46</v>
      </c>
      <c r="X857" s="5"/>
      <c r="Y857" s="5"/>
      <c r="Z857" s="5" t="str">
        <f>HYPERLINK("https://knigipp.ru/api/getInfo/image/591215fe-b6cd-11ee-a25a-00155d82e908")</f>
        <v>https://knigipp.ru/api/getInfo/image/591215fe-b6cd-11ee-a25a-00155d82e908</v>
      </c>
      <c r="AA857" s="33">
        <v>160</v>
      </c>
      <c r="AB857" s="5" t="s">
        <v>574</v>
      </c>
      <c r="AC857" s="5" t="s">
        <v>86</v>
      </c>
      <c r="AD857" s="33">
        <v>70</v>
      </c>
      <c r="AE857" s="5" t="s">
        <v>49</v>
      </c>
      <c r="AF857" s="5"/>
      <c r="AG857" s="5" t="s">
        <v>3389</v>
      </c>
      <c r="AH857" s="5" t="s">
        <v>1996</v>
      </c>
    </row>
    <row r="858" spans="2:34" ht="21" customHeight="1" outlineLevel="4" x14ac:dyDescent="0.2">
      <c r="B858" s="4">
        <v>646</v>
      </c>
      <c r="C858" s="5" t="s">
        <v>3558</v>
      </c>
      <c r="D858" s="5" t="s">
        <v>3559</v>
      </c>
      <c r="E858" s="6" t="s">
        <v>3560</v>
      </c>
      <c r="F858" s="10"/>
      <c r="G858" s="11" t="s">
        <v>3386</v>
      </c>
      <c r="H858" s="12">
        <v>10</v>
      </c>
      <c r="I858" s="13" t="s">
        <v>41</v>
      </c>
      <c r="J858" s="13"/>
      <c r="K858" s="13"/>
      <c r="L858" s="4">
        <v>3</v>
      </c>
      <c r="M858" s="14">
        <f>219*(1-P3/100)</f>
        <v>219</v>
      </c>
      <c r="N858" s="15"/>
      <c r="O858" s="13">
        <f t="shared" si="24"/>
        <v>0</v>
      </c>
      <c r="P858" s="22">
        <f>0.287*N858</f>
        <v>0</v>
      </c>
      <c r="Q858" s="23">
        <f>0.00055*N858</f>
        <v>0</v>
      </c>
      <c r="R858" s="24"/>
      <c r="S858" s="25" t="s">
        <v>3561</v>
      </c>
      <c r="T858" s="25" t="s">
        <v>94</v>
      </c>
      <c r="U858" s="5"/>
      <c r="V858" s="5"/>
      <c r="W858" s="5" t="s">
        <v>46</v>
      </c>
      <c r="X858" s="5"/>
      <c r="Y858" s="5"/>
      <c r="Z858" s="5" t="str">
        <f>HYPERLINK("https://knigipp.ru/api/getInfo/image/b0d39a76-b115-11ee-a259-00155d82e908")</f>
        <v>https://knigipp.ru/api/getInfo/image/b0d39a76-b115-11ee-a259-00155d82e908</v>
      </c>
      <c r="AA858" s="33">
        <v>160</v>
      </c>
      <c r="AB858" s="5" t="s">
        <v>574</v>
      </c>
      <c r="AC858" s="5" t="s">
        <v>86</v>
      </c>
      <c r="AD858" s="33">
        <v>70</v>
      </c>
      <c r="AE858" s="5" t="s">
        <v>49</v>
      </c>
      <c r="AF858" s="5"/>
      <c r="AG858" s="5" t="s">
        <v>3389</v>
      </c>
      <c r="AH858" s="5" t="s">
        <v>1996</v>
      </c>
    </row>
    <row r="859" spans="2:34" ht="21" customHeight="1" outlineLevel="4" x14ac:dyDescent="0.2">
      <c r="B859" s="4">
        <v>647</v>
      </c>
      <c r="C859" s="5" t="s">
        <v>3562</v>
      </c>
      <c r="D859" s="5" t="s">
        <v>3563</v>
      </c>
      <c r="E859" s="6" t="s">
        <v>3564</v>
      </c>
      <c r="F859" s="10"/>
      <c r="G859" s="11" t="s">
        <v>3386</v>
      </c>
      <c r="H859" s="12">
        <v>10</v>
      </c>
      <c r="I859" s="13" t="s">
        <v>41</v>
      </c>
      <c r="J859" s="13"/>
      <c r="K859" s="13"/>
      <c r="L859" s="4">
        <v>3</v>
      </c>
      <c r="M859" s="14">
        <f>219*(1-P3/100)</f>
        <v>219</v>
      </c>
      <c r="N859" s="15"/>
      <c r="O859" s="13">
        <f t="shared" si="24"/>
        <v>0</v>
      </c>
      <c r="P859" s="22">
        <f>0.298*N859</f>
        <v>0</v>
      </c>
      <c r="Q859" s="23">
        <f>0.00041*N859</f>
        <v>0</v>
      </c>
      <c r="R859" s="24"/>
      <c r="S859" s="25" t="s">
        <v>3565</v>
      </c>
      <c r="T859" s="25" t="s">
        <v>94</v>
      </c>
      <c r="U859" s="5"/>
      <c r="V859" s="5"/>
      <c r="W859" s="5" t="s">
        <v>2731</v>
      </c>
      <c r="X859" s="5"/>
      <c r="Y859" s="5"/>
      <c r="Z859" s="5" t="str">
        <f>HYPERLINK("https://knigipp.ru/api/getInfo/image/20463ee8-9649-11ec-a211-ac1f6b442185")</f>
        <v>https://knigipp.ru/api/getInfo/image/20463ee8-9649-11ec-a211-ac1f6b442185</v>
      </c>
      <c r="AA859" s="33">
        <v>160</v>
      </c>
      <c r="AB859" s="5"/>
      <c r="AC859" s="5" t="s">
        <v>86</v>
      </c>
      <c r="AD859" s="33">
        <v>70</v>
      </c>
      <c r="AE859" s="5" t="s">
        <v>49</v>
      </c>
      <c r="AF859" s="5"/>
      <c r="AG859" s="5" t="s">
        <v>3389</v>
      </c>
      <c r="AH859" s="5" t="s">
        <v>1996</v>
      </c>
    </row>
    <row r="860" spans="2:34" ht="21" customHeight="1" outlineLevel="4" x14ac:dyDescent="0.2">
      <c r="B860" s="4">
        <v>648</v>
      </c>
      <c r="C860" s="5" t="s">
        <v>3566</v>
      </c>
      <c r="D860" s="5" t="s">
        <v>3567</v>
      </c>
      <c r="E860" s="6" t="s">
        <v>3568</v>
      </c>
      <c r="F860" s="10"/>
      <c r="G860" s="11" t="s">
        <v>3569</v>
      </c>
      <c r="H860" s="12">
        <v>10</v>
      </c>
      <c r="I860" s="13" t="s">
        <v>41</v>
      </c>
      <c r="J860" s="13"/>
      <c r="K860" s="13"/>
      <c r="L860" s="4">
        <v>3</v>
      </c>
      <c r="M860" s="14">
        <f>219*(1-P3/100)</f>
        <v>219</v>
      </c>
      <c r="N860" s="15"/>
      <c r="O860" s="13">
        <f t="shared" si="24"/>
        <v>0</v>
      </c>
      <c r="P860" s="22">
        <f>0.287*N860</f>
        <v>0</v>
      </c>
      <c r="Q860" s="23">
        <f>0.00055*N860</f>
        <v>0</v>
      </c>
      <c r="R860" s="24"/>
      <c r="S860" s="25" t="s">
        <v>3570</v>
      </c>
      <c r="T860" s="25" t="s">
        <v>94</v>
      </c>
      <c r="U860" s="5"/>
      <c r="V860" s="5"/>
      <c r="W860" s="5" t="s">
        <v>46</v>
      </c>
      <c r="X860" s="5"/>
      <c r="Y860" s="5"/>
      <c r="Z860" s="5" t="str">
        <f>HYPERLINK("https://knigipp.ru/api/getInfo/image/e03b6dfe-a383-11ed-a22f-00155d82e902")</f>
        <v>https://knigipp.ru/api/getInfo/image/e03b6dfe-a383-11ed-a22f-00155d82e902</v>
      </c>
      <c r="AA860" s="33">
        <v>160</v>
      </c>
      <c r="AB860" s="5" t="s">
        <v>598</v>
      </c>
      <c r="AC860" s="5" t="s">
        <v>86</v>
      </c>
      <c r="AD860" s="33">
        <v>70</v>
      </c>
      <c r="AE860" s="5" t="s">
        <v>49</v>
      </c>
      <c r="AF860" s="5"/>
      <c r="AG860" s="5" t="s">
        <v>3389</v>
      </c>
      <c r="AH860" s="5" t="s">
        <v>1996</v>
      </c>
    </row>
    <row r="861" spans="2:34" ht="21" customHeight="1" outlineLevel="4" x14ac:dyDescent="0.2">
      <c r="B861" s="4">
        <v>649</v>
      </c>
      <c r="C861" s="5" t="s">
        <v>3571</v>
      </c>
      <c r="D861" s="5" t="s">
        <v>3572</v>
      </c>
      <c r="E861" s="6" t="s">
        <v>3573</v>
      </c>
      <c r="F861" s="10"/>
      <c r="G861" s="11" t="s">
        <v>3386</v>
      </c>
      <c r="H861" s="12">
        <v>10</v>
      </c>
      <c r="I861" s="13" t="s">
        <v>41</v>
      </c>
      <c r="J861" s="13"/>
      <c r="K861" s="13"/>
      <c r="L861" s="4">
        <v>3</v>
      </c>
      <c r="M861" s="14">
        <f>219*(1-P3/100)</f>
        <v>219</v>
      </c>
      <c r="N861" s="15"/>
      <c r="O861" s="13">
        <f t="shared" si="24"/>
        <v>0</v>
      </c>
      <c r="P861" s="22">
        <f>0.295*N861</f>
        <v>0</v>
      </c>
      <c r="Q861" s="23">
        <f>0.00047*N861</f>
        <v>0</v>
      </c>
      <c r="R861" s="24"/>
      <c r="S861" s="25" t="s">
        <v>3574</v>
      </c>
      <c r="T861" s="25" t="s">
        <v>94</v>
      </c>
      <c r="U861" s="5"/>
      <c r="V861" s="5" t="s">
        <v>3575</v>
      </c>
      <c r="W861" s="5" t="s">
        <v>46</v>
      </c>
      <c r="X861" s="5"/>
      <c r="Y861" s="5"/>
      <c r="Z861" s="5" t="str">
        <f>HYPERLINK("https://knigipp.ru/api/getInfo/image/d5f9d54d-c4e2-11ef-a268-00155d82e908")</f>
        <v>https://knigipp.ru/api/getInfo/image/d5f9d54d-c4e2-11ef-a268-00155d82e908</v>
      </c>
      <c r="AA861" s="33">
        <v>160</v>
      </c>
      <c r="AB861" s="5" t="s">
        <v>574</v>
      </c>
      <c r="AC861" s="5" t="s">
        <v>86</v>
      </c>
      <c r="AD861" s="33">
        <v>70</v>
      </c>
      <c r="AE861" s="5" t="s">
        <v>49</v>
      </c>
      <c r="AF861" s="5"/>
      <c r="AG861" s="5" t="s">
        <v>3389</v>
      </c>
      <c r="AH861" s="5" t="s">
        <v>1996</v>
      </c>
    </row>
    <row r="862" spans="2:34" ht="21" customHeight="1" outlineLevel="4" x14ac:dyDescent="0.2">
      <c r="B862" s="4">
        <v>650</v>
      </c>
      <c r="C862" s="5" t="s">
        <v>3576</v>
      </c>
      <c r="D862" s="5" t="s">
        <v>3577</v>
      </c>
      <c r="E862" s="6" t="s">
        <v>3578</v>
      </c>
      <c r="F862" s="10"/>
      <c r="G862" s="11" t="s">
        <v>3386</v>
      </c>
      <c r="H862" s="12">
        <v>10</v>
      </c>
      <c r="I862" s="13" t="s">
        <v>41</v>
      </c>
      <c r="J862" s="13"/>
      <c r="K862" s="13"/>
      <c r="L862" s="4">
        <v>3</v>
      </c>
      <c r="M862" s="14">
        <f>219*(1-P3/100)</f>
        <v>219</v>
      </c>
      <c r="N862" s="15"/>
      <c r="O862" s="13">
        <f t="shared" si="24"/>
        <v>0</v>
      </c>
      <c r="P862" s="22">
        <f>0.295*N862</f>
        <v>0</v>
      </c>
      <c r="Q862" s="23">
        <f>0.00053*N862</f>
        <v>0</v>
      </c>
      <c r="R862" s="24"/>
      <c r="S862" s="25" t="s">
        <v>3579</v>
      </c>
      <c r="T862" s="25" t="s">
        <v>94</v>
      </c>
      <c r="U862" s="5"/>
      <c r="V862" s="5"/>
      <c r="W862" s="5" t="s">
        <v>46</v>
      </c>
      <c r="X862" s="5"/>
      <c r="Y862" s="5"/>
      <c r="Z862" s="5" t="str">
        <f>HYPERLINK("https://knigipp.ru/api/getInfo/image/9d54607a-e04c-11ed-a233-00155d82e902")</f>
        <v>https://knigipp.ru/api/getInfo/image/9d54607a-e04c-11ed-a233-00155d82e902</v>
      </c>
      <c r="AA862" s="33">
        <v>160</v>
      </c>
      <c r="AB862" s="5" t="s">
        <v>574</v>
      </c>
      <c r="AC862" s="5" t="s">
        <v>86</v>
      </c>
      <c r="AD862" s="33">
        <v>70</v>
      </c>
      <c r="AE862" s="5" t="s">
        <v>49</v>
      </c>
      <c r="AF862" s="5"/>
      <c r="AG862" s="5" t="s">
        <v>3389</v>
      </c>
      <c r="AH862" s="5" t="s">
        <v>1996</v>
      </c>
    </row>
    <row r="863" spans="2:34" ht="21" customHeight="1" outlineLevel="4" x14ac:dyDescent="0.2">
      <c r="B863" s="4">
        <v>651</v>
      </c>
      <c r="C863" s="5" t="s">
        <v>3580</v>
      </c>
      <c r="D863" s="5" t="s">
        <v>3581</v>
      </c>
      <c r="E863" s="6" t="s">
        <v>3582</v>
      </c>
      <c r="F863" s="10"/>
      <c r="G863" s="11" t="s">
        <v>3386</v>
      </c>
      <c r="H863" s="12">
        <v>10</v>
      </c>
      <c r="I863" s="13" t="s">
        <v>41</v>
      </c>
      <c r="J863" s="13"/>
      <c r="K863" s="13"/>
      <c r="L863" s="4">
        <v>3</v>
      </c>
      <c r="M863" s="14">
        <f>219*(1-P3/100)</f>
        <v>219</v>
      </c>
      <c r="N863" s="15"/>
      <c r="O863" s="13">
        <f t="shared" si="24"/>
        <v>0</v>
      </c>
      <c r="P863" s="22">
        <f>0.294*N863</f>
        <v>0</v>
      </c>
      <c r="Q863" s="23">
        <f>0.00057*N863</f>
        <v>0</v>
      </c>
      <c r="R863" s="24"/>
      <c r="S863" s="25" t="s">
        <v>3583</v>
      </c>
      <c r="T863" s="25" t="s">
        <v>94</v>
      </c>
      <c r="U863" s="5"/>
      <c r="V863" s="5" t="s">
        <v>3584</v>
      </c>
      <c r="W863" s="5" t="s">
        <v>46</v>
      </c>
      <c r="X863" s="5"/>
      <c r="Y863" s="5"/>
      <c r="Z863" s="5" t="str">
        <f>HYPERLINK("https://knigipp.ru/api/getInfo/image/5f890d76-c4e2-11ef-a268-00155d82e908")</f>
        <v>https://knigipp.ru/api/getInfo/image/5f890d76-c4e2-11ef-a268-00155d82e908</v>
      </c>
      <c r="AA863" s="33">
        <v>160</v>
      </c>
      <c r="AB863" s="5" t="s">
        <v>574</v>
      </c>
      <c r="AC863" s="5" t="s">
        <v>86</v>
      </c>
      <c r="AD863" s="33">
        <v>70</v>
      </c>
      <c r="AE863" s="5" t="s">
        <v>49</v>
      </c>
      <c r="AF863" s="5"/>
      <c r="AG863" s="5" t="s">
        <v>3389</v>
      </c>
      <c r="AH863" s="5" t="s">
        <v>1996</v>
      </c>
    </row>
    <row r="864" spans="2:34" ht="21" customHeight="1" outlineLevel="4" x14ac:dyDescent="0.2">
      <c r="B864" s="4">
        <v>652</v>
      </c>
      <c r="C864" s="5" t="s">
        <v>3585</v>
      </c>
      <c r="D864" s="5" t="s">
        <v>3586</v>
      </c>
      <c r="E864" s="6" t="s">
        <v>3587</v>
      </c>
      <c r="F864" s="10"/>
      <c r="G864" s="11" t="s">
        <v>3386</v>
      </c>
      <c r="H864" s="12">
        <v>10</v>
      </c>
      <c r="I864" s="13" t="s">
        <v>41</v>
      </c>
      <c r="J864" s="13"/>
      <c r="K864" s="13"/>
      <c r="L864" s="4">
        <v>3</v>
      </c>
      <c r="M864" s="14">
        <f>219*(1-P3/100)</f>
        <v>219</v>
      </c>
      <c r="N864" s="15"/>
      <c r="O864" s="13">
        <f t="shared" si="24"/>
        <v>0</v>
      </c>
      <c r="P864" s="22">
        <f>0.294*N864</f>
        <v>0</v>
      </c>
      <c r="Q864" s="23">
        <f>0.00053*N864</f>
        <v>0</v>
      </c>
      <c r="R864" s="24"/>
      <c r="S864" s="25" t="s">
        <v>3588</v>
      </c>
      <c r="T864" s="25" t="s">
        <v>94</v>
      </c>
      <c r="U864" s="5"/>
      <c r="V864" s="5" t="s">
        <v>3589</v>
      </c>
      <c r="W864" s="5" t="s">
        <v>46</v>
      </c>
      <c r="X864" s="5"/>
      <c r="Y864" s="5"/>
      <c r="Z864" s="5" t="str">
        <f>HYPERLINK("https://knigipp.ru/api/getInfo/image/22b925f4-b115-11ee-a259-00155d82e908")</f>
        <v>https://knigipp.ru/api/getInfo/image/22b925f4-b115-11ee-a259-00155d82e908</v>
      </c>
      <c r="AA864" s="33">
        <v>160</v>
      </c>
      <c r="AB864" s="5" t="s">
        <v>574</v>
      </c>
      <c r="AC864" s="5" t="s">
        <v>86</v>
      </c>
      <c r="AD864" s="33">
        <v>70</v>
      </c>
      <c r="AE864" s="5" t="s">
        <v>49</v>
      </c>
      <c r="AF864" s="5"/>
      <c r="AG864" s="5" t="s">
        <v>3389</v>
      </c>
      <c r="AH864" s="5" t="s">
        <v>1996</v>
      </c>
    </row>
    <row r="865" spans="2:34" ht="21" customHeight="1" outlineLevel="4" x14ac:dyDescent="0.2">
      <c r="B865" s="4">
        <v>653</v>
      </c>
      <c r="C865" s="5" t="s">
        <v>3590</v>
      </c>
      <c r="D865" s="5" t="s">
        <v>3591</v>
      </c>
      <c r="E865" s="6" t="s">
        <v>3592</v>
      </c>
      <c r="F865" s="10"/>
      <c r="G865" s="11" t="s">
        <v>3386</v>
      </c>
      <c r="H865" s="12">
        <v>10</v>
      </c>
      <c r="I865" s="13" t="s">
        <v>41</v>
      </c>
      <c r="J865" s="13"/>
      <c r="K865" s="13"/>
      <c r="L865" s="4">
        <v>3</v>
      </c>
      <c r="M865" s="14">
        <f>219*(1-P3/100)</f>
        <v>219</v>
      </c>
      <c r="N865" s="15"/>
      <c r="O865" s="13">
        <f t="shared" si="24"/>
        <v>0</v>
      </c>
      <c r="P865" s="22">
        <f>0.293*N865</f>
        <v>0</v>
      </c>
      <c r="Q865" s="23">
        <f>0.00049*N865</f>
        <v>0</v>
      </c>
      <c r="R865" s="24"/>
      <c r="S865" s="25" t="s">
        <v>3593</v>
      </c>
      <c r="T865" s="25" t="s">
        <v>94</v>
      </c>
      <c r="U865" s="5"/>
      <c r="V865" s="5"/>
      <c r="W865" s="5"/>
      <c r="X865" s="5"/>
      <c r="Y865" s="5"/>
      <c r="Z865" s="5" t="str">
        <f>HYPERLINK("https://knigipp.ru/api/getInfo/image/88a33a26-3dca-11ee-a241-00155d82e902")</f>
        <v>https://knigipp.ru/api/getInfo/image/88a33a26-3dca-11ee-a241-00155d82e902</v>
      </c>
      <c r="AA865" s="33">
        <v>160</v>
      </c>
      <c r="AB865" s="5" t="s">
        <v>598</v>
      </c>
      <c r="AC865" s="5" t="s">
        <v>86</v>
      </c>
      <c r="AD865" s="33">
        <v>70</v>
      </c>
      <c r="AE865" s="5" t="s">
        <v>49</v>
      </c>
      <c r="AF865" s="5"/>
      <c r="AG865" s="5" t="s">
        <v>3389</v>
      </c>
      <c r="AH865" s="5" t="s">
        <v>1996</v>
      </c>
    </row>
    <row r="866" spans="2:34" ht="21" customHeight="1" outlineLevel="4" x14ac:dyDescent="0.2">
      <c r="B866" s="4">
        <v>654</v>
      </c>
      <c r="C866" s="5" t="s">
        <v>3594</v>
      </c>
      <c r="D866" s="5" t="s">
        <v>3595</v>
      </c>
      <c r="E866" s="6" t="s">
        <v>3596</v>
      </c>
      <c r="F866" s="10"/>
      <c r="G866" s="11" t="s">
        <v>3386</v>
      </c>
      <c r="H866" s="12">
        <v>10</v>
      </c>
      <c r="I866" s="13" t="s">
        <v>41</v>
      </c>
      <c r="J866" s="13"/>
      <c r="K866" s="13"/>
      <c r="L866" s="4">
        <v>3</v>
      </c>
      <c r="M866" s="14">
        <f>219*(1-P3/100)</f>
        <v>219</v>
      </c>
      <c r="N866" s="15"/>
      <c r="O866" s="13">
        <f t="shared" si="24"/>
        <v>0</v>
      </c>
      <c r="P866" s="22">
        <f>0.295*N866</f>
        <v>0</v>
      </c>
      <c r="Q866" s="23">
        <f>0.00053*N866</f>
        <v>0</v>
      </c>
      <c r="R866" s="24"/>
      <c r="S866" s="25" t="s">
        <v>3597</v>
      </c>
      <c r="T866" s="25" t="s">
        <v>94</v>
      </c>
      <c r="U866" s="5"/>
      <c r="V866" s="5" t="s">
        <v>3598</v>
      </c>
      <c r="W866" s="5" t="s">
        <v>46</v>
      </c>
      <c r="X866" s="5"/>
      <c r="Y866" s="5"/>
      <c r="Z866" s="5" t="str">
        <f>HYPERLINK("https://knigipp.ru/api/getInfo/image/8a3f91f1-c4e2-11ef-a268-00155d82e908")</f>
        <v>https://knigipp.ru/api/getInfo/image/8a3f91f1-c4e2-11ef-a268-00155d82e908</v>
      </c>
      <c r="AA866" s="33">
        <v>160</v>
      </c>
      <c r="AB866" s="5" t="s">
        <v>574</v>
      </c>
      <c r="AC866" s="5" t="s">
        <v>86</v>
      </c>
      <c r="AD866" s="33">
        <v>70</v>
      </c>
      <c r="AE866" s="5" t="s">
        <v>49</v>
      </c>
      <c r="AF866" s="5"/>
      <c r="AG866" s="5" t="s">
        <v>3389</v>
      </c>
      <c r="AH866" s="5" t="s">
        <v>1996</v>
      </c>
    </row>
    <row r="867" spans="2:34" ht="21" customHeight="1" outlineLevel="4" x14ac:dyDescent="0.2">
      <c r="B867" s="4">
        <v>655</v>
      </c>
      <c r="C867" s="5" t="s">
        <v>3599</v>
      </c>
      <c r="D867" s="5" t="s">
        <v>3600</v>
      </c>
      <c r="E867" s="6" t="s">
        <v>3601</v>
      </c>
      <c r="F867" s="10"/>
      <c r="G867" s="11" t="s">
        <v>3386</v>
      </c>
      <c r="H867" s="12">
        <v>10</v>
      </c>
      <c r="I867" s="13" t="s">
        <v>41</v>
      </c>
      <c r="J867" s="13"/>
      <c r="K867" s="13"/>
      <c r="L867" s="4">
        <v>3</v>
      </c>
      <c r="M867" s="14">
        <f>219*(1-P3/100)</f>
        <v>219</v>
      </c>
      <c r="N867" s="15"/>
      <c r="O867" s="13">
        <f t="shared" si="24"/>
        <v>0</v>
      </c>
      <c r="P867" s="22">
        <f>0.295*N867</f>
        <v>0</v>
      </c>
      <c r="Q867" s="23">
        <f>0.00053*N867</f>
        <v>0</v>
      </c>
      <c r="R867" s="24"/>
      <c r="S867" s="25" t="s">
        <v>3602</v>
      </c>
      <c r="T867" s="25" t="s">
        <v>94</v>
      </c>
      <c r="U867" s="5"/>
      <c r="V867" s="5" t="s">
        <v>3603</v>
      </c>
      <c r="W867" s="5" t="s">
        <v>46</v>
      </c>
      <c r="X867" s="5"/>
      <c r="Y867" s="5"/>
      <c r="Z867" s="5" t="str">
        <f>HYPERLINK("https://knigipp.ru/api/getInfo/image/d03e526e-b6cd-11ee-a25a-00155d82e908")</f>
        <v>https://knigipp.ru/api/getInfo/image/d03e526e-b6cd-11ee-a25a-00155d82e908</v>
      </c>
      <c r="AA867" s="33">
        <v>160</v>
      </c>
      <c r="AB867" s="5" t="s">
        <v>574</v>
      </c>
      <c r="AC867" s="5" t="s">
        <v>86</v>
      </c>
      <c r="AD867" s="33">
        <v>70</v>
      </c>
      <c r="AE867" s="5" t="s">
        <v>49</v>
      </c>
      <c r="AF867" s="5"/>
      <c r="AG867" s="5" t="s">
        <v>3389</v>
      </c>
      <c r="AH867" s="5" t="s">
        <v>1996</v>
      </c>
    </row>
    <row r="868" spans="2:34" ht="21" customHeight="1" outlineLevel="4" x14ac:dyDescent="0.2">
      <c r="B868" s="4">
        <v>656</v>
      </c>
      <c r="C868" s="5" t="s">
        <v>3604</v>
      </c>
      <c r="D868" s="5" t="s">
        <v>3605</v>
      </c>
      <c r="E868" s="6" t="s">
        <v>3606</v>
      </c>
      <c r="F868" s="10"/>
      <c r="G868" s="11" t="s">
        <v>3386</v>
      </c>
      <c r="H868" s="12">
        <v>10</v>
      </c>
      <c r="I868" s="13" t="s">
        <v>41</v>
      </c>
      <c r="J868" s="13"/>
      <c r="K868" s="13"/>
      <c r="L868" s="4">
        <v>3</v>
      </c>
      <c r="M868" s="14">
        <f>219*(1-P3/100)</f>
        <v>219</v>
      </c>
      <c r="N868" s="15"/>
      <c r="O868" s="13">
        <f t="shared" si="24"/>
        <v>0</v>
      </c>
      <c r="P868" s="22">
        <f>0.293*N868</f>
        <v>0</v>
      </c>
      <c r="Q868" s="23">
        <f>0.00059*N868</f>
        <v>0</v>
      </c>
      <c r="R868" s="24"/>
      <c r="S868" s="25" t="s">
        <v>3607</v>
      </c>
      <c r="T868" s="25" t="s">
        <v>94</v>
      </c>
      <c r="U868" s="5"/>
      <c r="V868" s="5"/>
      <c r="W868" s="5" t="s">
        <v>2731</v>
      </c>
      <c r="X868" s="5"/>
      <c r="Y868" s="5"/>
      <c r="Z868" s="5" t="str">
        <f>HYPERLINK("https://knigipp.ru/api/getInfo/image/a28f3343-2f2c-11eb-a25d-ac1f6b442184")</f>
        <v>https://knigipp.ru/api/getInfo/image/a28f3343-2f2c-11eb-a25d-ac1f6b442184</v>
      </c>
      <c r="AA868" s="33">
        <v>160</v>
      </c>
      <c r="AB868" s="5"/>
      <c r="AC868" s="5" t="s">
        <v>86</v>
      </c>
      <c r="AD868" s="33">
        <v>70</v>
      </c>
      <c r="AE868" s="5" t="s">
        <v>49</v>
      </c>
      <c r="AF868" s="5"/>
      <c r="AG868" s="5" t="s">
        <v>3389</v>
      </c>
      <c r="AH868" s="5" t="s">
        <v>1996</v>
      </c>
    </row>
    <row r="869" spans="2:34" ht="21" customHeight="1" outlineLevel="4" x14ac:dyDescent="0.2">
      <c r="B869" s="4">
        <v>657</v>
      </c>
      <c r="C869" s="5" t="s">
        <v>3608</v>
      </c>
      <c r="D869" s="5" t="s">
        <v>3609</v>
      </c>
      <c r="E869" s="6" t="s">
        <v>3610</v>
      </c>
      <c r="F869" s="10"/>
      <c r="G869" s="11" t="s">
        <v>3386</v>
      </c>
      <c r="H869" s="12">
        <v>10</v>
      </c>
      <c r="I869" s="13" t="s">
        <v>41</v>
      </c>
      <c r="J869" s="13"/>
      <c r="K869" s="13"/>
      <c r="L869" s="4">
        <v>3</v>
      </c>
      <c r="M869" s="14">
        <f>219*(1-P3/100)</f>
        <v>219</v>
      </c>
      <c r="N869" s="15"/>
      <c r="O869" s="13">
        <f t="shared" si="24"/>
        <v>0</v>
      </c>
      <c r="P869" s="22">
        <f>0.293*N869</f>
        <v>0</v>
      </c>
      <c r="Q869" s="23">
        <f>0.02046*N869</f>
        <v>0</v>
      </c>
      <c r="R869" s="24"/>
      <c r="S869" s="25" t="s">
        <v>3611</v>
      </c>
      <c r="T869" s="25" t="s">
        <v>94</v>
      </c>
      <c r="U869" s="5"/>
      <c r="V869" s="5"/>
      <c r="W869" s="5"/>
      <c r="X869" s="5" t="s">
        <v>3612</v>
      </c>
      <c r="Y869" s="5"/>
      <c r="Z869" s="5" t="str">
        <f>HYPERLINK("https://knigipp.ru/api/getInfo/image/217cbea7-3dcb-11ee-a241-00155d82e902")</f>
        <v>https://knigipp.ru/api/getInfo/image/217cbea7-3dcb-11ee-a241-00155d82e902</v>
      </c>
      <c r="AA869" s="33">
        <v>160</v>
      </c>
      <c r="AB869" s="5"/>
      <c r="AC869" s="5" t="s">
        <v>86</v>
      </c>
      <c r="AD869" s="33">
        <v>70</v>
      </c>
      <c r="AE869" s="5" t="s">
        <v>49</v>
      </c>
      <c r="AF869" s="5"/>
      <c r="AG869" s="5" t="s">
        <v>3389</v>
      </c>
      <c r="AH869" s="5" t="s">
        <v>1996</v>
      </c>
    </row>
    <row r="870" spans="2:34" ht="21" customHeight="1" outlineLevel="4" x14ac:dyDescent="0.2">
      <c r="B870" s="4">
        <v>658</v>
      </c>
      <c r="C870" s="5" t="s">
        <v>3613</v>
      </c>
      <c r="D870" s="5" t="s">
        <v>3614</v>
      </c>
      <c r="E870" s="6" t="s">
        <v>3615</v>
      </c>
      <c r="F870" s="10"/>
      <c r="G870" s="11" t="s">
        <v>3386</v>
      </c>
      <c r="H870" s="12">
        <v>10</v>
      </c>
      <c r="I870" s="13" t="s">
        <v>41</v>
      </c>
      <c r="J870" s="13"/>
      <c r="K870" s="13"/>
      <c r="L870" s="4">
        <v>3</v>
      </c>
      <c r="M870" s="14">
        <f>219*(1-P3/100)</f>
        <v>219</v>
      </c>
      <c r="N870" s="15"/>
      <c r="O870" s="13">
        <f t="shared" si="24"/>
        <v>0</v>
      </c>
      <c r="P870" s="22">
        <f>0.295*N870</f>
        <v>0</v>
      </c>
      <c r="Q870" s="23">
        <f>0.00053*N870</f>
        <v>0</v>
      </c>
      <c r="R870" s="24"/>
      <c r="S870" s="25" t="s">
        <v>3616</v>
      </c>
      <c r="T870" s="25" t="s">
        <v>94</v>
      </c>
      <c r="U870" s="5"/>
      <c r="V870" s="5"/>
      <c r="W870" s="5"/>
      <c r="X870" s="5"/>
      <c r="Y870" s="5"/>
      <c r="Z870" s="5" t="str">
        <f>HYPERLINK("https://knigipp.ru/api/getInfo/image/67a9b185-3dcb-11ee-a241-00155d82e902")</f>
        <v>https://knigipp.ru/api/getInfo/image/67a9b185-3dcb-11ee-a241-00155d82e902</v>
      </c>
      <c r="AA870" s="33">
        <v>160</v>
      </c>
      <c r="AB870" s="5" t="s">
        <v>598</v>
      </c>
      <c r="AC870" s="5" t="s">
        <v>86</v>
      </c>
      <c r="AD870" s="33">
        <v>70</v>
      </c>
      <c r="AE870" s="5" t="s">
        <v>49</v>
      </c>
      <c r="AF870" s="5"/>
      <c r="AG870" s="5" t="s">
        <v>3389</v>
      </c>
      <c r="AH870" s="5" t="s">
        <v>1996</v>
      </c>
    </row>
    <row r="871" spans="2:34" ht="21" customHeight="1" outlineLevel="4" x14ac:dyDescent="0.2">
      <c r="B871" s="4">
        <v>659</v>
      </c>
      <c r="C871" s="5" t="s">
        <v>3617</v>
      </c>
      <c r="D871" s="5" t="s">
        <v>3618</v>
      </c>
      <c r="E871" s="6" t="s">
        <v>3619</v>
      </c>
      <c r="F871" s="10"/>
      <c r="G871" s="11" t="s">
        <v>3386</v>
      </c>
      <c r="H871" s="12">
        <v>10</v>
      </c>
      <c r="I871" s="13" t="s">
        <v>41</v>
      </c>
      <c r="J871" s="13"/>
      <c r="K871" s="13"/>
      <c r="L871" s="4">
        <v>3</v>
      </c>
      <c r="M871" s="14">
        <f>219*(1-P3/100)</f>
        <v>219</v>
      </c>
      <c r="N871" s="15"/>
      <c r="O871" s="13">
        <f t="shared" si="24"/>
        <v>0</v>
      </c>
      <c r="P871" s="22">
        <f>0.301*N871</f>
        <v>0</v>
      </c>
      <c r="Q871" s="23">
        <f>0.00057*N871</f>
        <v>0</v>
      </c>
      <c r="R871" s="24"/>
      <c r="S871" s="25" t="s">
        <v>3620</v>
      </c>
      <c r="T871" s="25" t="s">
        <v>94</v>
      </c>
      <c r="U871" s="5"/>
      <c r="V871" s="5"/>
      <c r="W871" s="5" t="s">
        <v>46</v>
      </c>
      <c r="X871" s="5"/>
      <c r="Y871" s="5"/>
      <c r="Z871" s="5" t="str">
        <f>HYPERLINK("https://knigipp.ru/api/getInfo/image/c3d4baa2-e04c-11ed-a233-00155d82e902")</f>
        <v>https://knigipp.ru/api/getInfo/image/c3d4baa2-e04c-11ed-a233-00155d82e902</v>
      </c>
      <c r="AA871" s="33">
        <v>160</v>
      </c>
      <c r="AB871" s="5" t="s">
        <v>574</v>
      </c>
      <c r="AC871" s="5" t="s">
        <v>86</v>
      </c>
      <c r="AD871" s="33">
        <v>70</v>
      </c>
      <c r="AE871" s="5" t="s">
        <v>49</v>
      </c>
      <c r="AF871" s="5"/>
      <c r="AG871" s="5" t="s">
        <v>3389</v>
      </c>
      <c r="AH871" s="5" t="s">
        <v>1996</v>
      </c>
    </row>
    <row r="872" spans="2:34" ht="21" customHeight="1" outlineLevel="4" x14ac:dyDescent="0.2">
      <c r="B872" s="4">
        <v>660</v>
      </c>
      <c r="C872" s="5" t="s">
        <v>3621</v>
      </c>
      <c r="D872" s="5" t="s">
        <v>3622</v>
      </c>
      <c r="E872" s="6" t="s">
        <v>3623</v>
      </c>
      <c r="F872" s="10"/>
      <c r="G872" s="11" t="s">
        <v>3386</v>
      </c>
      <c r="H872" s="12">
        <v>10</v>
      </c>
      <c r="I872" s="13" t="s">
        <v>371</v>
      </c>
      <c r="J872" s="13"/>
      <c r="K872" s="13"/>
      <c r="L872" s="4">
        <v>3</v>
      </c>
      <c r="M872" s="14">
        <f>219*(1-P3/100)</f>
        <v>219</v>
      </c>
      <c r="N872" s="15"/>
      <c r="O872" s="13">
        <f t="shared" si="24"/>
        <v>0</v>
      </c>
      <c r="P872" s="22">
        <f>0.245*N872</f>
        <v>0</v>
      </c>
      <c r="Q872" s="30">
        <f>0.0004*N872</f>
        <v>0</v>
      </c>
      <c r="R872" s="24"/>
      <c r="S872" s="25" t="s">
        <v>3624</v>
      </c>
      <c r="T872" s="25" t="s">
        <v>94</v>
      </c>
      <c r="U872" s="5"/>
      <c r="V872" s="5"/>
      <c r="W872" s="5" t="s">
        <v>2731</v>
      </c>
      <c r="X872" s="5"/>
      <c r="Y872" s="5"/>
      <c r="Z872" s="5" t="str">
        <f>HYPERLINK("https://knigipp.ru/api/getInfo/image/9247ab1e-0617-11ea-a236-ac1f6b442184")</f>
        <v>https://knigipp.ru/api/getInfo/image/9247ab1e-0617-11ea-a236-ac1f6b442184</v>
      </c>
      <c r="AA872" s="33">
        <v>160</v>
      </c>
      <c r="AB872" s="5"/>
      <c r="AC872" s="5" t="s">
        <v>86</v>
      </c>
      <c r="AD872" s="33">
        <v>70</v>
      </c>
      <c r="AE872" s="5" t="s">
        <v>49</v>
      </c>
      <c r="AF872" s="5"/>
      <c r="AG872" s="5" t="s">
        <v>3389</v>
      </c>
      <c r="AH872" s="5" t="s">
        <v>1996</v>
      </c>
    </row>
    <row r="873" spans="2:34" ht="21" customHeight="1" outlineLevel="4" x14ac:dyDescent="0.2">
      <c r="B873" s="4">
        <v>661</v>
      </c>
      <c r="C873" s="5" t="s">
        <v>3625</v>
      </c>
      <c r="D873" s="5" t="s">
        <v>3626</v>
      </c>
      <c r="E873" s="6" t="s">
        <v>3627</v>
      </c>
      <c r="F873" s="10"/>
      <c r="G873" s="11" t="s">
        <v>3386</v>
      </c>
      <c r="H873" s="12">
        <v>10</v>
      </c>
      <c r="I873" s="13" t="s">
        <v>41</v>
      </c>
      <c r="J873" s="13"/>
      <c r="K873" s="13"/>
      <c r="L873" s="4">
        <v>3</v>
      </c>
      <c r="M873" s="14">
        <f>219*(1-P3/100)</f>
        <v>219</v>
      </c>
      <c r="N873" s="15"/>
      <c r="O873" s="13">
        <f t="shared" si="24"/>
        <v>0</v>
      </c>
      <c r="P873" s="22">
        <f>0.297*N873</f>
        <v>0</v>
      </c>
      <c r="Q873" s="23">
        <f>0.00063*N873</f>
        <v>0</v>
      </c>
      <c r="R873" s="24"/>
      <c r="S873" s="25" t="s">
        <v>3628</v>
      </c>
      <c r="T873" s="25" t="s">
        <v>94</v>
      </c>
      <c r="U873" s="5"/>
      <c r="V873" s="5"/>
      <c r="W873" s="5" t="s">
        <v>46</v>
      </c>
      <c r="X873" s="5"/>
      <c r="Y873" s="5"/>
      <c r="Z873" s="5" t="str">
        <f>HYPERLINK("https://knigipp.ru/api/getInfo/image/9e3f0c26-1999-11ee-a23b-00155d82e902")</f>
        <v>https://knigipp.ru/api/getInfo/image/9e3f0c26-1999-11ee-a23b-00155d82e902</v>
      </c>
      <c r="AA873" s="33">
        <v>160</v>
      </c>
      <c r="AB873" s="5" t="s">
        <v>574</v>
      </c>
      <c r="AC873" s="5" t="s">
        <v>86</v>
      </c>
      <c r="AD873" s="33">
        <v>70</v>
      </c>
      <c r="AE873" s="5" t="s">
        <v>49</v>
      </c>
      <c r="AF873" s="5"/>
      <c r="AG873" s="5" t="s">
        <v>3389</v>
      </c>
      <c r="AH873" s="5" t="s">
        <v>1996</v>
      </c>
    </row>
    <row r="874" spans="2:34" ht="21" customHeight="1" outlineLevel="4" x14ac:dyDescent="0.2">
      <c r="B874" s="4">
        <v>662</v>
      </c>
      <c r="C874" s="5" t="s">
        <v>3629</v>
      </c>
      <c r="D874" s="5" t="s">
        <v>3630</v>
      </c>
      <c r="E874" s="6" t="s">
        <v>3631</v>
      </c>
      <c r="F874" s="10"/>
      <c r="G874" s="11" t="s">
        <v>3386</v>
      </c>
      <c r="H874" s="12">
        <v>10</v>
      </c>
      <c r="I874" s="13" t="s">
        <v>41</v>
      </c>
      <c r="J874" s="13"/>
      <c r="K874" s="13"/>
      <c r="L874" s="4">
        <v>3</v>
      </c>
      <c r="M874" s="14">
        <f>219*(1-P3/100)</f>
        <v>219</v>
      </c>
      <c r="N874" s="15"/>
      <c r="O874" s="13">
        <f t="shared" si="24"/>
        <v>0</v>
      </c>
      <c r="P874" s="22">
        <f>0.296*N874</f>
        <v>0</v>
      </c>
      <c r="Q874" s="23">
        <f>0.00065*N874</f>
        <v>0</v>
      </c>
      <c r="R874" s="24"/>
      <c r="S874" s="25" t="s">
        <v>3632</v>
      </c>
      <c r="T874" s="25" t="s">
        <v>94</v>
      </c>
      <c r="U874" s="5"/>
      <c r="V874" s="5" t="s">
        <v>3633</v>
      </c>
      <c r="W874" s="5" t="s">
        <v>46</v>
      </c>
      <c r="X874" s="5"/>
      <c r="Y874" s="5"/>
      <c r="Z874" s="5" t="str">
        <f>HYPERLINK("https://knigipp.ru/api/getInfo/image/0021c361-c4e3-11ef-a268-00155d82e908")</f>
        <v>https://knigipp.ru/api/getInfo/image/0021c361-c4e3-11ef-a268-00155d82e908</v>
      </c>
      <c r="AA874" s="33">
        <v>160</v>
      </c>
      <c r="AB874" s="5" t="s">
        <v>574</v>
      </c>
      <c r="AC874" s="5" t="s">
        <v>86</v>
      </c>
      <c r="AD874" s="33">
        <v>70</v>
      </c>
      <c r="AE874" s="5" t="s">
        <v>49</v>
      </c>
      <c r="AF874" s="5"/>
      <c r="AG874" s="5" t="s">
        <v>3389</v>
      </c>
      <c r="AH874" s="5" t="s">
        <v>1996</v>
      </c>
    </row>
    <row r="875" spans="2:34" ht="21" customHeight="1" outlineLevel="4" x14ac:dyDescent="0.2">
      <c r="B875" s="4">
        <v>663</v>
      </c>
      <c r="C875" s="5" t="s">
        <v>3634</v>
      </c>
      <c r="D875" s="5" t="s">
        <v>3635</v>
      </c>
      <c r="E875" s="6" t="s">
        <v>3636</v>
      </c>
      <c r="F875" s="10"/>
      <c r="G875" s="11" t="s">
        <v>3386</v>
      </c>
      <c r="H875" s="12">
        <v>10</v>
      </c>
      <c r="I875" s="13" t="s">
        <v>41</v>
      </c>
      <c r="J875" s="13"/>
      <c r="K875" s="13"/>
      <c r="L875" s="4">
        <v>3</v>
      </c>
      <c r="M875" s="14">
        <f>219*(1-P3/100)</f>
        <v>219</v>
      </c>
      <c r="N875" s="15"/>
      <c r="O875" s="13">
        <f t="shared" si="24"/>
        <v>0</v>
      </c>
      <c r="P875" s="22">
        <f>0.293*N875</f>
        <v>0</v>
      </c>
      <c r="Q875" s="23">
        <f>0.00047*N875</f>
        <v>0</v>
      </c>
      <c r="R875" s="24"/>
      <c r="S875" s="25" t="s">
        <v>3637</v>
      </c>
      <c r="T875" s="25" t="s">
        <v>94</v>
      </c>
      <c r="U875" s="5"/>
      <c r="V875" s="5" t="s">
        <v>3638</v>
      </c>
      <c r="W875" s="5" t="s">
        <v>46</v>
      </c>
      <c r="X875" s="5"/>
      <c r="Y875" s="5"/>
      <c r="Z875" s="5" t="str">
        <f>HYPERLINK("https://knigipp.ru/api/getInfo/image/68e55bb6-bea4-11ee-a25a-00155d82e908")</f>
        <v>https://knigipp.ru/api/getInfo/image/68e55bb6-bea4-11ee-a25a-00155d82e908</v>
      </c>
      <c r="AA875" s="33">
        <v>160</v>
      </c>
      <c r="AB875" s="5" t="s">
        <v>574</v>
      </c>
      <c r="AC875" s="5" t="s">
        <v>86</v>
      </c>
      <c r="AD875" s="33">
        <v>70</v>
      </c>
      <c r="AE875" s="5" t="s">
        <v>49</v>
      </c>
      <c r="AF875" s="5"/>
      <c r="AG875" s="5" t="s">
        <v>3389</v>
      </c>
      <c r="AH875" s="5" t="s">
        <v>1996</v>
      </c>
    </row>
    <row r="876" spans="2:34" ht="21" customHeight="1" outlineLevel="4" x14ac:dyDescent="0.2">
      <c r="B876" s="4">
        <v>664</v>
      </c>
      <c r="C876" s="5" t="s">
        <v>3639</v>
      </c>
      <c r="D876" s="5" t="s">
        <v>3640</v>
      </c>
      <c r="E876" s="6" t="s">
        <v>3641</v>
      </c>
      <c r="F876" s="10"/>
      <c r="G876" s="11" t="s">
        <v>3386</v>
      </c>
      <c r="H876" s="12">
        <v>10</v>
      </c>
      <c r="I876" s="13" t="s">
        <v>41</v>
      </c>
      <c r="J876" s="13"/>
      <c r="K876" s="13"/>
      <c r="L876" s="4">
        <v>3</v>
      </c>
      <c r="M876" s="14">
        <f>219*(1-P3/100)</f>
        <v>219</v>
      </c>
      <c r="N876" s="15"/>
      <c r="O876" s="13">
        <f t="shared" si="24"/>
        <v>0</v>
      </c>
      <c r="P876" s="22">
        <f>0.299*N876</f>
        <v>0</v>
      </c>
      <c r="Q876" s="23">
        <f>0.00042*N876</f>
        <v>0</v>
      </c>
      <c r="R876" s="24"/>
      <c r="S876" s="25" t="s">
        <v>3642</v>
      </c>
      <c r="T876" s="25" t="s">
        <v>94</v>
      </c>
      <c r="U876" s="5"/>
      <c r="V876" s="5"/>
      <c r="W876" s="5" t="s">
        <v>46</v>
      </c>
      <c r="X876" s="5"/>
      <c r="Y876" s="5"/>
      <c r="Z876" s="5" t="str">
        <f>HYPERLINK("https://knigipp.ru/api/getInfo/image/51bef9f3-e1f8-11ee-a25a-00155d82e908")</f>
        <v>https://knigipp.ru/api/getInfo/image/51bef9f3-e1f8-11ee-a25a-00155d82e908</v>
      </c>
      <c r="AA876" s="33">
        <v>160</v>
      </c>
      <c r="AB876" s="5" t="s">
        <v>574</v>
      </c>
      <c r="AC876" s="5" t="s">
        <v>86</v>
      </c>
      <c r="AD876" s="33">
        <v>70</v>
      </c>
      <c r="AE876" s="5" t="s">
        <v>49</v>
      </c>
      <c r="AF876" s="5"/>
      <c r="AG876" s="5" t="s">
        <v>3389</v>
      </c>
      <c r="AH876" s="5" t="s">
        <v>1996</v>
      </c>
    </row>
    <row r="877" spans="2:34" ht="21" customHeight="1" outlineLevel="4" x14ac:dyDescent="0.2">
      <c r="B877" s="4">
        <v>665</v>
      </c>
      <c r="C877" s="5" t="s">
        <v>3643</v>
      </c>
      <c r="D877" s="5" t="s">
        <v>3644</v>
      </c>
      <c r="E877" s="6" t="s">
        <v>3645</v>
      </c>
      <c r="F877" s="10"/>
      <c r="G877" s="11" t="s">
        <v>3386</v>
      </c>
      <c r="H877" s="12">
        <v>10</v>
      </c>
      <c r="I877" s="13" t="s">
        <v>41</v>
      </c>
      <c r="J877" s="13"/>
      <c r="K877" s="13"/>
      <c r="L877" s="4">
        <v>3</v>
      </c>
      <c r="M877" s="14">
        <f>219*(1-P3/100)</f>
        <v>219</v>
      </c>
      <c r="N877" s="15"/>
      <c r="O877" s="13">
        <f t="shared" si="24"/>
        <v>0</v>
      </c>
      <c r="P877" s="22">
        <f>0.305*N877</f>
        <v>0</v>
      </c>
      <c r="Q877" s="23">
        <f>0.00048*N877</f>
        <v>0</v>
      </c>
      <c r="R877" s="24"/>
      <c r="S877" s="25" t="s">
        <v>3646</v>
      </c>
      <c r="T877" s="25" t="s">
        <v>94</v>
      </c>
      <c r="U877" s="5"/>
      <c r="V877" s="5"/>
      <c r="W877" s="5" t="s">
        <v>2731</v>
      </c>
      <c r="X877" s="5"/>
      <c r="Y877" s="5"/>
      <c r="Z877" s="5" t="str">
        <f>HYPERLINK("https://knigipp.ru/api/getInfo/image/4dcd151e-2f2c-11eb-a25d-ac1f6b442184")</f>
        <v>https://knigipp.ru/api/getInfo/image/4dcd151e-2f2c-11eb-a25d-ac1f6b442184</v>
      </c>
      <c r="AA877" s="33">
        <v>160</v>
      </c>
      <c r="AB877" s="5"/>
      <c r="AC877" s="5" t="s">
        <v>86</v>
      </c>
      <c r="AD877" s="33">
        <v>70</v>
      </c>
      <c r="AE877" s="5" t="s">
        <v>49</v>
      </c>
      <c r="AF877" s="5"/>
      <c r="AG877" s="5" t="s">
        <v>3389</v>
      </c>
      <c r="AH877" s="5" t="s">
        <v>1996</v>
      </c>
    </row>
    <row r="878" spans="2:34" ht="22.95" customHeight="1" outlineLevel="3" x14ac:dyDescent="0.2">
      <c r="B878" s="74" t="s">
        <v>3647</v>
      </c>
      <c r="C878" s="74"/>
      <c r="D878" s="74"/>
    </row>
    <row r="879" spans="2:34" ht="21" customHeight="1" outlineLevel="4" x14ac:dyDescent="0.2">
      <c r="B879" s="4">
        <v>666</v>
      </c>
      <c r="C879" s="5" t="s">
        <v>3648</v>
      </c>
      <c r="D879" s="5" t="s">
        <v>3649</v>
      </c>
      <c r="E879" s="6" t="s">
        <v>3650</v>
      </c>
      <c r="F879" s="10"/>
      <c r="G879" s="11" t="s">
        <v>3651</v>
      </c>
      <c r="H879" s="12">
        <v>10</v>
      </c>
      <c r="I879" s="13" t="s">
        <v>41</v>
      </c>
      <c r="J879" s="13"/>
      <c r="K879" s="13"/>
      <c r="L879" s="4">
        <v>4</v>
      </c>
      <c r="M879" s="14">
        <f>169*(1-P3/100)</f>
        <v>169</v>
      </c>
      <c r="N879" s="15"/>
      <c r="O879" s="13">
        <f>M879*N879</f>
        <v>0</v>
      </c>
      <c r="P879" s="22">
        <f>0.172*N879</f>
        <v>0</v>
      </c>
      <c r="Q879" s="23">
        <f>0.00032*N879</f>
        <v>0</v>
      </c>
      <c r="R879" s="24"/>
      <c r="S879" s="25" t="s">
        <v>3652</v>
      </c>
      <c r="T879" s="25" t="s">
        <v>94</v>
      </c>
      <c r="U879" s="5"/>
      <c r="V879" s="5"/>
      <c r="W879" s="5" t="s">
        <v>46</v>
      </c>
      <c r="X879" s="5"/>
      <c r="Y879" s="5"/>
      <c r="Z879" s="5" t="str">
        <f>HYPERLINK("https://knigipp.ru/api/getInfo/image/927f4f04-7927-11ec-a211-ac1f6b442185")</f>
        <v>https://knigipp.ru/api/getInfo/image/927f4f04-7927-11ec-a211-ac1f6b442185</v>
      </c>
      <c r="AA879" s="33">
        <v>80</v>
      </c>
      <c r="AB879" s="5"/>
      <c r="AC879" s="5" t="s">
        <v>86</v>
      </c>
      <c r="AD879" s="5"/>
      <c r="AE879" s="5" t="s">
        <v>49</v>
      </c>
      <c r="AF879" s="5"/>
      <c r="AG879" s="5"/>
      <c r="AH879" s="5" t="s">
        <v>3653</v>
      </c>
    </row>
    <row r="880" spans="2:34" ht="21" customHeight="1" outlineLevel="4" x14ac:dyDescent="0.2">
      <c r="B880" s="4">
        <v>667</v>
      </c>
      <c r="C880" s="5" t="s">
        <v>3654</v>
      </c>
      <c r="D880" s="5" t="s">
        <v>3655</v>
      </c>
      <c r="E880" s="6" t="s">
        <v>3656</v>
      </c>
      <c r="F880" s="10"/>
      <c r="G880" s="11" t="s">
        <v>3651</v>
      </c>
      <c r="H880" s="12">
        <v>10</v>
      </c>
      <c r="I880" s="13" t="s">
        <v>41</v>
      </c>
      <c r="J880" s="13"/>
      <c r="K880" s="13"/>
      <c r="L880" s="4">
        <v>4</v>
      </c>
      <c r="M880" s="14">
        <f>169*(1-P3/100)</f>
        <v>169</v>
      </c>
      <c r="N880" s="15"/>
      <c r="O880" s="13">
        <f>M880*N880</f>
        <v>0</v>
      </c>
      <c r="P880" s="13">
        <v>0</v>
      </c>
      <c r="Q880" s="13">
        <v>0</v>
      </c>
      <c r="R880" s="24"/>
      <c r="S880" s="25" t="s">
        <v>3657</v>
      </c>
      <c r="T880" s="25" t="s">
        <v>94</v>
      </c>
      <c r="U880" s="5"/>
      <c r="V880" s="5"/>
      <c r="W880" s="5" t="s">
        <v>46</v>
      </c>
      <c r="X880" s="5"/>
      <c r="Y880" s="5"/>
      <c r="Z880" s="5" t="str">
        <f>HYPERLINK("https://knigipp.ru/api/getInfo/image/e53d3ebc-2062-11ec-a20f-ac1f6b442185")</f>
        <v>https://knigipp.ru/api/getInfo/image/e53d3ebc-2062-11ec-a20f-ac1f6b442185</v>
      </c>
      <c r="AA880" s="33">
        <v>80</v>
      </c>
      <c r="AB880" s="5"/>
      <c r="AC880" s="5" t="s">
        <v>86</v>
      </c>
      <c r="AD880" s="5"/>
      <c r="AE880" s="5" t="s">
        <v>49</v>
      </c>
      <c r="AF880" s="5"/>
      <c r="AG880" s="5"/>
      <c r="AH880" s="5" t="s">
        <v>3653</v>
      </c>
    </row>
    <row r="881" spans="2:34" ht="21" customHeight="1" outlineLevel="4" x14ac:dyDescent="0.2">
      <c r="B881" s="4">
        <v>668</v>
      </c>
      <c r="C881" s="5" t="s">
        <v>3658</v>
      </c>
      <c r="D881" s="5" t="s">
        <v>3659</v>
      </c>
      <c r="E881" s="6" t="s">
        <v>3660</v>
      </c>
      <c r="F881" s="10"/>
      <c r="G881" s="11" t="s">
        <v>3651</v>
      </c>
      <c r="H881" s="12">
        <v>10</v>
      </c>
      <c r="I881" s="13" t="s">
        <v>41</v>
      </c>
      <c r="J881" s="13"/>
      <c r="K881" s="13"/>
      <c r="L881" s="4">
        <v>4</v>
      </c>
      <c r="M881" s="14">
        <f>169*(1-P3/100)</f>
        <v>169</v>
      </c>
      <c r="N881" s="15"/>
      <c r="O881" s="13">
        <f>M881*N881</f>
        <v>0</v>
      </c>
      <c r="P881" s="13">
        <v>0</v>
      </c>
      <c r="Q881" s="13">
        <v>0</v>
      </c>
      <c r="R881" s="24"/>
      <c r="S881" s="25" t="s">
        <v>3661</v>
      </c>
      <c r="T881" s="25" t="s">
        <v>94</v>
      </c>
      <c r="U881" s="5"/>
      <c r="V881" s="5"/>
      <c r="W881" s="5" t="s">
        <v>46</v>
      </c>
      <c r="X881" s="5"/>
      <c r="Y881" s="5"/>
      <c r="Z881" s="5" t="str">
        <f>HYPERLINK("https://knigipp.ru/api/getInfo/image/8f57abad-2062-11ec-a20f-ac1f6b442185")</f>
        <v>https://knigipp.ru/api/getInfo/image/8f57abad-2062-11ec-a20f-ac1f6b442185</v>
      </c>
      <c r="AA881" s="33">
        <v>80</v>
      </c>
      <c r="AB881" s="5"/>
      <c r="AC881" s="5" t="s">
        <v>86</v>
      </c>
      <c r="AD881" s="5"/>
      <c r="AE881" s="5" t="s">
        <v>49</v>
      </c>
      <c r="AF881" s="5"/>
      <c r="AG881" s="5"/>
      <c r="AH881" s="5" t="s">
        <v>3653</v>
      </c>
    </row>
    <row r="882" spans="2:34" ht="21" customHeight="1" outlineLevel="4" x14ac:dyDescent="0.2">
      <c r="B882" s="4">
        <v>669</v>
      </c>
      <c r="C882" s="5" t="s">
        <v>3662</v>
      </c>
      <c r="D882" s="5" t="s">
        <v>3663</v>
      </c>
      <c r="E882" s="6" t="s">
        <v>3664</v>
      </c>
      <c r="F882" s="10"/>
      <c r="G882" s="11" t="s">
        <v>3651</v>
      </c>
      <c r="H882" s="12">
        <v>10</v>
      </c>
      <c r="I882" s="13" t="s">
        <v>41</v>
      </c>
      <c r="J882" s="13"/>
      <c r="K882" s="13"/>
      <c r="L882" s="4">
        <v>4</v>
      </c>
      <c r="M882" s="14">
        <f>169*(1-P3/100)</f>
        <v>169</v>
      </c>
      <c r="N882" s="15"/>
      <c r="O882" s="13">
        <f>M882*N882</f>
        <v>0</v>
      </c>
      <c r="P882" s="13">
        <v>0</v>
      </c>
      <c r="Q882" s="13">
        <v>0</v>
      </c>
      <c r="R882" s="24"/>
      <c r="S882" s="25" t="s">
        <v>3665</v>
      </c>
      <c r="T882" s="25" t="s">
        <v>94</v>
      </c>
      <c r="U882" s="5"/>
      <c r="V882" s="5"/>
      <c r="W882" s="5" t="s">
        <v>46</v>
      </c>
      <c r="X882" s="5"/>
      <c r="Y882" s="5"/>
      <c r="Z882" s="5" t="str">
        <f>HYPERLINK("https://knigipp.ru/api/getInfo/image/26ab0844-7207-11ed-a22a-00155d82e902")</f>
        <v>https://knigipp.ru/api/getInfo/image/26ab0844-7207-11ed-a22a-00155d82e902</v>
      </c>
      <c r="AA882" s="33">
        <v>80</v>
      </c>
      <c r="AB882" s="5" t="s">
        <v>574</v>
      </c>
      <c r="AC882" s="5" t="s">
        <v>86</v>
      </c>
      <c r="AD882" s="5"/>
      <c r="AE882" s="5" t="s">
        <v>49</v>
      </c>
      <c r="AF882" s="5"/>
      <c r="AG882" s="5"/>
      <c r="AH882" s="5" t="s">
        <v>3653</v>
      </c>
    </row>
    <row r="883" spans="2:34" ht="21" customHeight="1" outlineLevel="4" x14ac:dyDescent="0.2">
      <c r="B883" s="4">
        <v>670</v>
      </c>
      <c r="C883" s="5" t="s">
        <v>3666</v>
      </c>
      <c r="D883" s="5" t="s">
        <v>3667</v>
      </c>
      <c r="E883" s="6" t="s">
        <v>3668</v>
      </c>
      <c r="F883" s="10"/>
      <c r="G883" s="11" t="s">
        <v>3651</v>
      </c>
      <c r="H883" s="12">
        <v>10</v>
      </c>
      <c r="I883" s="13" t="s">
        <v>41</v>
      </c>
      <c r="J883" s="13"/>
      <c r="K883" s="13"/>
      <c r="L883" s="4">
        <v>4</v>
      </c>
      <c r="M883" s="14">
        <f>169*(1-P3/100)</f>
        <v>169</v>
      </c>
      <c r="N883" s="15"/>
      <c r="O883" s="13">
        <f>M883*N883</f>
        <v>0</v>
      </c>
      <c r="P883" s="13">
        <v>0</v>
      </c>
      <c r="Q883" s="13">
        <v>0</v>
      </c>
      <c r="R883" s="24"/>
      <c r="S883" s="25" t="s">
        <v>3669</v>
      </c>
      <c r="T883" s="25" t="s">
        <v>94</v>
      </c>
      <c r="U883" s="5"/>
      <c r="V883" s="5"/>
      <c r="W883" s="5" t="s">
        <v>46</v>
      </c>
      <c r="X883" s="5"/>
      <c r="Y883" s="5"/>
      <c r="Z883" s="5" t="str">
        <f>HYPERLINK("https://knigipp.ru/api/getInfo/image/7ca3cee0-7207-11ed-a22a-00155d82e902")</f>
        <v>https://knigipp.ru/api/getInfo/image/7ca3cee0-7207-11ed-a22a-00155d82e902</v>
      </c>
      <c r="AA883" s="33">
        <v>80</v>
      </c>
      <c r="AB883" s="5"/>
      <c r="AC883" s="5" t="s">
        <v>86</v>
      </c>
      <c r="AD883" s="5"/>
      <c r="AE883" s="5" t="s">
        <v>49</v>
      </c>
      <c r="AF883" s="5"/>
      <c r="AG883" s="5"/>
      <c r="AH883" s="5" t="s">
        <v>3653</v>
      </c>
    </row>
    <row r="884" spans="2:34" ht="22.95" customHeight="1" outlineLevel="2" x14ac:dyDescent="0.2">
      <c r="B884" s="73" t="s">
        <v>3670</v>
      </c>
      <c r="C884" s="73"/>
      <c r="D884" s="73"/>
    </row>
    <row r="885" spans="2:34" ht="22.95" customHeight="1" outlineLevel="3" x14ac:dyDescent="0.2">
      <c r="B885" s="74" t="s">
        <v>3671</v>
      </c>
      <c r="C885" s="74"/>
      <c r="D885" s="74"/>
    </row>
    <row r="886" spans="2:34" ht="21" customHeight="1" outlineLevel="4" x14ac:dyDescent="0.2">
      <c r="B886" s="4">
        <v>671</v>
      </c>
      <c r="C886" s="5" t="s">
        <v>3672</v>
      </c>
      <c r="D886" s="5" t="s">
        <v>3673</v>
      </c>
      <c r="E886" s="6" t="s">
        <v>3674</v>
      </c>
      <c r="F886" s="10"/>
      <c r="G886" s="11" t="s">
        <v>3675</v>
      </c>
      <c r="H886" s="12">
        <v>20</v>
      </c>
      <c r="I886" s="13" t="s">
        <v>41</v>
      </c>
      <c r="J886" s="13"/>
      <c r="K886" s="13"/>
      <c r="L886" s="4">
        <v>4</v>
      </c>
      <c r="M886" s="14">
        <f>149*(1-P3/100)</f>
        <v>149</v>
      </c>
      <c r="N886" s="15"/>
      <c r="O886" s="13">
        <f t="shared" ref="O886:O893" si="25">M886*N886</f>
        <v>0</v>
      </c>
      <c r="P886" s="13">
        <v>0</v>
      </c>
      <c r="Q886" s="13">
        <v>0</v>
      </c>
      <c r="R886" s="24"/>
      <c r="S886" s="25" t="s">
        <v>3676</v>
      </c>
      <c r="T886" s="25" t="s">
        <v>94</v>
      </c>
      <c r="U886" s="5"/>
      <c r="V886" s="5"/>
      <c r="W886" s="5" t="s">
        <v>46</v>
      </c>
      <c r="X886" s="5" t="s">
        <v>2694</v>
      </c>
      <c r="Y886" s="5"/>
      <c r="Z886" s="5" t="str">
        <f>HYPERLINK("https://knigipp.ru/api/getInfo/image/137b8395-1a6e-11ee-a23b-00155d82e902")</f>
        <v>https://knigipp.ru/api/getInfo/image/137b8395-1a6e-11ee-a23b-00155d82e902</v>
      </c>
      <c r="AA886" s="33">
        <v>80</v>
      </c>
      <c r="AB886" s="5"/>
      <c r="AC886" s="5" t="s">
        <v>48</v>
      </c>
      <c r="AD886" s="5"/>
      <c r="AE886" s="5" t="s">
        <v>49</v>
      </c>
      <c r="AF886" s="5"/>
      <c r="AG886" s="5"/>
      <c r="AH886" s="5" t="s">
        <v>3677</v>
      </c>
    </row>
    <row r="887" spans="2:34" ht="21" customHeight="1" outlineLevel="4" x14ac:dyDescent="0.2">
      <c r="B887" s="4">
        <v>672</v>
      </c>
      <c r="C887" s="5" t="s">
        <v>3678</v>
      </c>
      <c r="D887" s="5" t="s">
        <v>3679</v>
      </c>
      <c r="E887" s="6" t="s">
        <v>3680</v>
      </c>
      <c r="F887" s="10"/>
      <c r="G887" s="11" t="s">
        <v>3675</v>
      </c>
      <c r="H887" s="12">
        <v>20</v>
      </c>
      <c r="I887" s="13" t="s">
        <v>41</v>
      </c>
      <c r="J887" s="13"/>
      <c r="K887" s="13"/>
      <c r="L887" s="4">
        <v>4</v>
      </c>
      <c r="M887" s="14">
        <f>149*(1-P3/100)</f>
        <v>149</v>
      </c>
      <c r="N887" s="15"/>
      <c r="O887" s="13">
        <f t="shared" si="25"/>
        <v>0</v>
      </c>
      <c r="P887" s="13">
        <v>0</v>
      </c>
      <c r="Q887" s="13">
        <v>0</v>
      </c>
      <c r="R887" s="24"/>
      <c r="S887" s="25" t="s">
        <v>3681</v>
      </c>
      <c r="T887" s="25" t="s">
        <v>94</v>
      </c>
      <c r="U887" s="5"/>
      <c r="V887" s="5"/>
      <c r="W887" s="5" t="s">
        <v>46</v>
      </c>
      <c r="X887" s="5" t="s">
        <v>2694</v>
      </c>
      <c r="Y887" s="5"/>
      <c r="Z887" s="5" t="str">
        <f>HYPERLINK("https://knigipp.ru/api/getInfo/image/c21a5d1c-1a6d-11ee-a23b-00155d82e902")</f>
        <v>https://knigipp.ru/api/getInfo/image/c21a5d1c-1a6d-11ee-a23b-00155d82e902</v>
      </c>
      <c r="AA887" s="33">
        <v>80</v>
      </c>
      <c r="AB887" s="5"/>
      <c r="AC887" s="5" t="s">
        <v>48</v>
      </c>
      <c r="AD887" s="5"/>
      <c r="AE887" s="5" t="s">
        <v>49</v>
      </c>
      <c r="AF887" s="5"/>
      <c r="AG887" s="5"/>
      <c r="AH887" s="5" t="s">
        <v>3677</v>
      </c>
    </row>
    <row r="888" spans="2:34" ht="21" customHeight="1" outlineLevel="4" x14ac:dyDescent="0.2">
      <c r="B888" s="4">
        <v>673</v>
      </c>
      <c r="C888" s="5" t="s">
        <v>3682</v>
      </c>
      <c r="D888" s="5" t="s">
        <v>3683</v>
      </c>
      <c r="E888" s="6" t="s">
        <v>3684</v>
      </c>
      <c r="F888" s="10"/>
      <c r="G888" s="11" t="s">
        <v>3675</v>
      </c>
      <c r="H888" s="12">
        <v>20</v>
      </c>
      <c r="I888" s="13" t="s">
        <v>41</v>
      </c>
      <c r="J888" s="13"/>
      <c r="K888" s="13"/>
      <c r="L888" s="4">
        <v>4</v>
      </c>
      <c r="M888" s="14">
        <f>149*(1-P3/100)</f>
        <v>149</v>
      </c>
      <c r="N888" s="15"/>
      <c r="O888" s="13">
        <f t="shared" si="25"/>
        <v>0</v>
      </c>
      <c r="P888" s="13">
        <v>0</v>
      </c>
      <c r="Q888" s="13">
        <v>0</v>
      </c>
      <c r="R888" s="24"/>
      <c r="S888" s="25" t="s">
        <v>3685</v>
      </c>
      <c r="T888" s="25" t="s">
        <v>94</v>
      </c>
      <c r="U888" s="5"/>
      <c r="V888" s="5"/>
      <c r="W888" s="5" t="s">
        <v>46</v>
      </c>
      <c r="X888" s="5" t="s">
        <v>2694</v>
      </c>
      <c r="Y888" s="5"/>
      <c r="Z888" s="5" t="str">
        <f>HYPERLINK("https://knigipp.ru/api/getInfo/image/37c45c49-1a6e-11ee-a23b-00155d82e902")</f>
        <v>https://knigipp.ru/api/getInfo/image/37c45c49-1a6e-11ee-a23b-00155d82e902</v>
      </c>
      <c r="AA888" s="33">
        <v>80</v>
      </c>
      <c r="AB888" s="5"/>
      <c r="AC888" s="5" t="s">
        <v>48</v>
      </c>
      <c r="AD888" s="5"/>
      <c r="AE888" s="5" t="s">
        <v>49</v>
      </c>
      <c r="AF888" s="5"/>
      <c r="AG888" s="5"/>
      <c r="AH888" s="5" t="s">
        <v>3677</v>
      </c>
    </row>
    <row r="889" spans="2:34" ht="21" customHeight="1" outlineLevel="4" x14ac:dyDescent="0.2">
      <c r="B889" s="4">
        <v>674</v>
      </c>
      <c r="C889" s="5" t="s">
        <v>3686</v>
      </c>
      <c r="D889" s="5" t="s">
        <v>3687</v>
      </c>
      <c r="E889" s="6" t="s">
        <v>3688</v>
      </c>
      <c r="F889" s="10"/>
      <c r="G889" s="11" t="s">
        <v>3675</v>
      </c>
      <c r="H889" s="12">
        <v>20</v>
      </c>
      <c r="I889" s="13" t="s">
        <v>41</v>
      </c>
      <c r="J889" s="13"/>
      <c r="K889" s="13"/>
      <c r="L889" s="4">
        <v>4</v>
      </c>
      <c r="M889" s="14">
        <f>149*(1-P3/100)</f>
        <v>149</v>
      </c>
      <c r="N889" s="15"/>
      <c r="O889" s="13">
        <f t="shared" si="25"/>
        <v>0</v>
      </c>
      <c r="P889" s="13">
        <v>0</v>
      </c>
      <c r="Q889" s="13">
        <v>0</v>
      </c>
      <c r="R889" s="24"/>
      <c r="S889" s="25" t="s">
        <v>3689</v>
      </c>
      <c r="T889" s="25" t="s">
        <v>94</v>
      </c>
      <c r="U889" s="5"/>
      <c r="V889" s="5"/>
      <c r="W889" s="5" t="s">
        <v>46</v>
      </c>
      <c r="X889" s="5" t="s">
        <v>3690</v>
      </c>
      <c r="Y889" s="5"/>
      <c r="Z889" s="5" t="str">
        <f>HYPERLINK("https://knigipp.ru/api/getInfo/image/e495edcd-c1aa-11ee-a25a-00155d82e908")</f>
        <v>https://knigipp.ru/api/getInfo/image/e495edcd-c1aa-11ee-a25a-00155d82e908</v>
      </c>
      <c r="AA889" s="33">
        <v>80</v>
      </c>
      <c r="AB889" s="5" t="s">
        <v>3691</v>
      </c>
      <c r="AC889" s="5" t="s">
        <v>48</v>
      </c>
      <c r="AD889" s="5"/>
      <c r="AE889" s="5" t="s">
        <v>49</v>
      </c>
      <c r="AF889" s="5"/>
      <c r="AG889" s="5"/>
      <c r="AH889" s="5" t="s">
        <v>3677</v>
      </c>
    </row>
    <row r="890" spans="2:34" ht="21" customHeight="1" outlineLevel="4" x14ac:dyDescent="0.2">
      <c r="B890" s="4">
        <v>675</v>
      </c>
      <c r="C890" s="5" t="s">
        <v>3692</v>
      </c>
      <c r="D890" s="5" t="s">
        <v>3693</v>
      </c>
      <c r="E890" s="6" t="s">
        <v>3694</v>
      </c>
      <c r="F890" s="10"/>
      <c r="G890" s="11" t="s">
        <v>3675</v>
      </c>
      <c r="H890" s="12">
        <v>20</v>
      </c>
      <c r="I890" s="13" t="s">
        <v>41</v>
      </c>
      <c r="J890" s="13"/>
      <c r="K890" s="13"/>
      <c r="L890" s="4">
        <v>4</v>
      </c>
      <c r="M890" s="14">
        <f>149*(1-P3/100)</f>
        <v>149</v>
      </c>
      <c r="N890" s="15"/>
      <c r="O890" s="13">
        <f t="shared" si="25"/>
        <v>0</v>
      </c>
      <c r="P890" s="13">
        <v>0</v>
      </c>
      <c r="Q890" s="13">
        <v>0</v>
      </c>
      <c r="R890" s="24"/>
      <c r="S890" s="25" t="s">
        <v>3695</v>
      </c>
      <c r="T890" s="25" t="s">
        <v>94</v>
      </c>
      <c r="U890" s="5"/>
      <c r="V890" s="5"/>
      <c r="W890" s="5" t="s">
        <v>46</v>
      </c>
      <c r="X890" s="5" t="s">
        <v>3690</v>
      </c>
      <c r="Y890" s="5"/>
      <c r="Z890" s="5" t="str">
        <f>HYPERLINK("https://knigipp.ru/api/getInfo/image/0e53fc28-c1ab-11ee-a25a-00155d82e908")</f>
        <v>https://knigipp.ru/api/getInfo/image/0e53fc28-c1ab-11ee-a25a-00155d82e908</v>
      </c>
      <c r="AA890" s="33">
        <v>80</v>
      </c>
      <c r="AB890" s="5" t="s">
        <v>3691</v>
      </c>
      <c r="AC890" s="5" t="s">
        <v>48</v>
      </c>
      <c r="AD890" s="5"/>
      <c r="AE890" s="5" t="s">
        <v>49</v>
      </c>
      <c r="AF890" s="5"/>
      <c r="AG890" s="5"/>
      <c r="AH890" s="5" t="s">
        <v>3677</v>
      </c>
    </row>
    <row r="891" spans="2:34" ht="21" customHeight="1" outlineLevel="4" x14ac:dyDescent="0.2">
      <c r="B891" s="4">
        <v>676</v>
      </c>
      <c r="C891" s="5" t="s">
        <v>3696</v>
      </c>
      <c r="D891" s="5" t="s">
        <v>3697</v>
      </c>
      <c r="E891" s="6" t="s">
        <v>3698</v>
      </c>
      <c r="F891" s="10"/>
      <c r="G891" s="11" t="s">
        <v>3675</v>
      </c>
      <c r="H891" s="12">
        <v>20</v>
      </c>
      <c r="I891" s="13" t="s">
        <v>41</v>
      </c>
      <c r="J891" s="13"/>
      <c r="K891" s="13"/>
      <c r="L891" s="4">
        <v>4</v>
      </c>
      <c r="M891" s="14">
        <f>149*(1-P3/100)</f>
        <v>149</v>
      </c>
      <c r="N891" s="15"/>
      <c r="O891" s="13">
        <f t="shared" si="25"/>
        <v>0</v>
      </c>
      <c r="P891" s="13">
        <v>0</v>
      </c>
      <c r="Q891" s="13">
        <v>0</v>
      </c>
      <c r="R891" s="24"/>
      <c r="S891" s="25" t="s">
        <v>3699</v>
      </c>
      <c r="T891" s="25" t="s">
        <v>94</v>
      </c>
      <c r="U891" s="5"/>
      <c r="V891" s="5"/>
      <c r="W891" s="5" t="s">
        <v>46</v>
      </c>
      <c r="X891" s="5" t="s">
        <v>3690</v>
      </c>
      <c r="Y891" s="5"/>
      <c r="Z891" s="5" t="str">
        <f>HYPERLINK("https://knigipp.ru/api/getInfo/image/2e542705-c1ab-11ee-a25a-00155d82e908")</f>
        <v>https://knigipp.ru/api/getInfo/image/2e542705-c1ab-11ee-a25a-00155d82e908</v>
      </c>
      <c r="AA891" s="33">
        <v>80</v>
      </c>
      <c r="AB891" s="5" t="s">
        <v>3691</v>
      </c>
      <c r="AC891" s="5" t="s">
        <v>48</v>
      </c>
      <c r="AD891" s="5"/>
      <c r="AE891" s="5" t="s">
        <v>49</v>
      </c>
      <c r="AF891" s="5"/>
      <c r="AG891" s="5"/>
      <c r="AH891" s="5" t="s">
        <v>3677</v>
      </c>
    </row>
    <row r="892" spans="2:34" ht="21" customHeight="1" outlineLevel="4" x14ac:dyDescent="0.2">
      <c r="B892" s="4">
        <v>677</v>
      </c>
      <c r="C892" s="5" t="s">
        <v>3700</v>
      </c>
      <c r="D892" s="5" t="s">
        <v>3701</v>
      </c>
      <c r="E892" s="6" t="s">
        <v>3702</v>
      </c>
      <c r="F892" s="10"/>
      <c r="G892" s="11" t="s">
        <v>3675</v>
      </c>
      <c r="H892" s="12">
        <v>20</v>
      </c>
      <c r="I892" s="13" t="s">
        <v>41</v>
      </c>
      <c r="J892" s="13"/>
      <c r="K892" s="13"/>
      <c r="L892" s="4">
        <v>4</v>
      </c>
      <c r="M892" s="14">
        <f>149*(1-P3/100)</f>
        <v>149</v>
      </c>
      <c r="N892" s="15"/>
      <c r="O892" s="13">
        <f t="shared" si="25"/>
        <v>0</v>
      </c>
      <c r="P892" s="13">
        <v>0</v>
      </c>
      <c r="Q892" s="13">
        <v>0</v>
      </c>
      <c r="R892" s="24"/>
      <c r="S892" s="25" t="s">
        <v>3703</v>
      </c>
      <c r="T892" s="25" t="s">
        <v>94</v>
      </c>
      <c r="U892" s="5"/>
      <c r="V892" s="5"/>
      <c r="W892" s="5" t="s">
        <v>46</v>
      </c>
      <c r="X892" s="5" t="s">
        <v>2694</v>
      </c>
      <c r="Y892" s="5"/>
      <c r="Z892" s="5" t="str">
        <f>HYPERLINK("https://knigipp.ru/api/getInfo/image/f0d649b4-1a6d-11ee-a23b-00155d82e902")</f>
        <v>https://knigipp.ru/api/getInfo/image/f0d649b4-1a6d-11ee-a23b-00155d82e902</v>
      </c>
      <c r="AA892" s="33">
        <v>80</v>
      </c>
      <c r="AB892" s="5"/>
      <c r="AC892" s="5" t="s">
        <v>48</v>
      </c>
      <c r="AD892" s="5"/>
      <c r="AE892" s="5" t="s">
        <v>49</v>
      </c>
      <c r="AF892" s="5"/>
      <c r="AG892" s="5"/>
      <c r="AH892" s="5" t="s">
        <v>3677</v>
      </c>
    </row>
    <row r="893" spans="2:34" ht="21" customHeight="1" outlineLevel="4" x14ac:dyDescent="0.2">
      <c r="B893" s="4">
        <v>678</v>
      </c>
      <c r="C893" s="5" t="s">
        <v>3704</v>
      </c>
      <c r="D893" s="5" t="s">
        <v>3705</v>
      </c>
      <c r="E893" s="6" t="s">
        <v>3706</v>
      </c>
      <c r="F893" s="10"/>
      <c r="G893" s="11" t="s">
        <v>3675</v>
      </c>
      <c r="H893" s="12">
        <v>20</v>
      </c>
      <c r="I893" s="13" t="s">
        <v>41</v>
      </c>
      <c r="J893" s="13"/>
      <c r="K893" s="13"/>
      <c r="L893" s="4">
        <v>4</v>
      </c>
      <c r="M893" s="14">
        <f>149*(1-P3/100)</f>
        <v>149</v>
      </c>
      <c r="N893" s="15"/>
      <c r="O893" s="13">
        <f t="shared" si="25"/>
        <v>0</v>
      </c>
      <c r="P893" s="13">
        <v>0</v>
      </c>
      <c r="Q893" s="13">
        <v>0</v>
      </c>
      <c r="R893" s="24"/>
      <c r="S893" s="25" t="s">
        <v>3707</v>
      </c>
      <c r="T893" s="25" t="s">
        <v>94</v>
      </c>
      <c r="U893" s="5"/>
      <c r="V893" s="5"/>
      <c r="W893" s="5" t="s">
        <v>46</v>
      </c>
      <c r="X893" s="5" t="s">
        <v>3690</v>
      </c>
      <c r="Y893" s="5"/>
      <c r="Z893" s="5" t="str">
        <f>HYPERLINK("https://knigipp.ru/api/getInfo/image/54f5e157-c1ab-11ee-a25a-00155d82e908")</f>
        <v>https://knigipp.ru/api/getInfo/image/54f5e157-c1ab-11ee-a25a-00155d82e908</v>
      </c>
      <c r="AA893" s="33">
        <v>80</v>
      </c>
      <c r="AB893" s="5" t="s">
        <v>3691</v>
      </c>
      <c r="AC893" s="5" t="s">
        <v>48</v>
      </c>
      <c r="AD893" s="5"/>
      <c r="AE893" s="5" t="s">
        <v>49</v>
      </c>
      <c r="AF893" s="5"/>
      <c r="AG893" s="5"/>
      <c r="AH893" s="5" t="s">
        <v>3677</v>
      </c>
    </row>
    <row r="894" spans="2:34" ht="22.95" customHeight="1" outlineLevel="2" x14ac:dyDescent="0.2">
      <c r="B894" s="73" t="s">
        <v>3708</v>
      </c>
      <c r="C894" s="73"/>
      <c r="D894" s="73"/>
    </row>
    <row r="895" spans="2:34" ht="21" customHeight="1" outlineLevel="3" x14ac:dyDescent="0.2">
      <c r="B895" s="4">
        <v>679</v>
      </c>
      <c r="C895" s="5" t="s">
        <v>3709</v>
      </c>
      <c r="D895" s="5" t="s">
        <v>3710</v>
      </c>
      <c r="E895" s="6" t="s">
        <v>3711</v>
      </c>
      <c r="F895" s="10"/>
      <c r="G895" s="11" t="s">
        <v>3712</v>
      </c>
      <c r="H895" s="12">
        <v>28</v>
      </c>
      <c r="I895" s="13" t="s">
        <v>41</v>
      </c>
      <c r="J895" s="13"/>
      <c r="K895" s="13"/>
      <c r="L895" s="4">
        <v>3</v>
      </c>
      <c r="M895" s="14">
        <f>249*(1-P3/100)</f>
        <v>249</v>
      </c>
      <c r="N895" s="15"/>
      <c r="O895" s="13">
        <f>M895*N895</f>
        <v>0</v>
      </c>
      <c r="P895" s="22">
        <f>0.137*N895</f>
        <v>0</v>
      </c>
      <c r="Q895" s="23">
        <f>0.00048*N895</f>
        <v>0</v>
      </c>
      <c r="R895" s="24"/>
      <c r="S895" s="25" t="s">
        <v>3713</v>
      </c>
      <c r="T895" s="25" t="s">
        <v>94</v>
      </c>
      <c r="U895" s="5"/>
      <c r="V895" s="5"/>
      <c r="W895" s="5" t="s">
        <v>46</v>
      </c>
      <c r="X895" s="5"/>
      <c r="Y895" s="5"/>
      <c r="Z895" s="5" t="str">
        <f>HYPERLINK("https://knigipp.ru/api/getInfo/image/f61ec467-78aa-11ee-a248-00155d82e902")</f>
        <v>https://knigipp.ru/api/getInfo/image/f61ec467-78aa-11ee-a248-00155d82e902</v>
      </c>
      <c r="AA895" s="5"/>
      <c r="AB895" s="5" t="s">
        <v>2259</v>
      </c>
      <c r="AC895" s="5" t="s">
        <v>828</v>
      </c>
      <c r="AD895" s="5"/>
      <c r="AE895" s="5" t="s">
        <v>49</v>
      </c>
      <c r="AF895" s="5"/>
      <c r="AG895" s="5"/>
      <c r="AH895" s="5" t="s">
        <v>3714</v>
      </c>
    </row>
    <row r="896" spans="2:34" ht="21" customHeight="1" outlineLevel="3" x14ac:dyDescent="0.2">
      <c r="B896" s="4">
        <v>680</v>
      </c>
      <c r="C896" s="5" t="s">
        <v>3715</v>
      </c>
      <c r="D896" s="5" t="s">
        <v>3716</v>
      </c>
      <c r="E896" s="6" t="s">
        <v>3717</v>
      </c>
      <c r="F896" s="10"/>
      <c r="G896" s="11" t="s">
        <v>3718</v>
      </c>
      <c r="H896" s="12">
        <v>28</v>
      </c>
      <c r="I896" s="13" t="s">
        <v>371</v>
      </c>
      <c r="J896" s="13"/>
      <c r="K896" s="13"/>
      <c r="L896" s="4">
        <v>3</v>
      </c>
      <c r="M896" s="14">
        <f>279*(1-P3/100)</f>
        <v>279</v>
      </c>
      <c r="N896" s="15"/>
      <c r="O896" s="13">
        <f>M896*N896</f>
        <v>0</v>
      </c>
      <c r="P896" s="13">
        <v>0</v>
      </c>
      <c r="Q896" s="13">
        <v>0</v>
      </c>
      <c r="R896" s="24"/>
      <c r="S896" s="25" t="s">
        <v>3719</v>
      </c>
      <c r="T896" s="25" t="s">
        <v>94</v>
      </c>
      <c r="U896" s="5"/>
      <c r="V896" s="5"/>
      <c r="W896" s="5" t="s">
        <v>46</v>
      </c>
      <c r="X896" s="5"/>
      <c r="Y896" s="5"/>
      <c r="Z896" s="5" t="str">
        <f>HYPERLINK("https://knigipp.ru/api/getInfo/image/a4bb8845-d9d5-11ed-a232-00155d82e902")</f>
        <v>https://knigipp.ru/api/getInfo/image/a4bb8845-d9d5-11ed-a232-00155d82e902</v>
      </c>
      <c r="AA896" s="5"/>
      <c r="AB896" s="5" t="s">
        <v>2259</v>
      </c>
      <c r="AC896" s="5" t="s">
        <v>828</v>
      </c>
      <c r="AD896" s="5"/>
      <c r="AE896" s="5" t="s">
        <v>49</v>
      </c>
      <c r="AF896" s="5"/>
      <c r="AG896" s="5"/>
      <c r="AH896" s="5" t="s">
        <v>3720</v>
      </c>
    </row>
    <row r="897" spans="2:34" ht="22.95" customHeight="1" outlineLevel="2" x14ac:dyDescent="0.2">
      <c r="B897" s="73" t="s">
        <v>3721</v>
      </c>
      <c r="C897" s="73"/>
      <c r="D897" s="73"/>
    </row>
    <row r="898" spans="2:34" ht="21" customHeight="1" outlineLevel="3" x14ac:dyDescent="0.2">
      <c r="B898" s="7">
        <v>681</v>
      </c>
      <c r="C898" s="8" t="s">
        <v>3722</v>
      </c>
      <c r="D898" s="8" t="s">
        <v>3723</v>
      </c>
      <c r="E898" s="9" t="s">
        <v>3724</v>
      </c>
      <c r="F898" s="16"/>
      <c r="G898" s="17" t="s">
        <v>3725</v>
      </c>
      <c r="H898" s="18">
        <v>20</v>
      </c>
      <c r="I898" s="19" t="s">
        <v>41</v>
      </c>
      <c r="J898" s="19"/>
      <c r="K898" s="19"/>
      <c r="L898" s="7">
        <v>1</v>
      </c>
      <c r="M898" s="21">
        <f>577*(1-P3/100)</f>
        <v>577</v>
      </c>
      <c r="N898" s="15"/>
      <c r="O898" s="19">
        <f>M898*N898</f>
        <v>0</v>
      </c>
      <c r="P898" s="26">
        <f>0.275*N898</f>
        <v>0</v>
      </c>
      <c r="Q898" s="27">
        <f>0.00012*N898</f>
        <v>0</v>
      </c>
      <c r="R898" s="28" t="s">
        <v>81</v>
      </c>
      <c r="S898" s="29" t="s">
        <v>3726</v>
      </c>
      <c r="T898" s="29" t="s">
        <v>94</v>
      </c>
      <c r="U898" s="8"/>
      <c r="V898" s="8"/>
      <c r="W898" s="8"/>
      <c r="X898" s="8"/>
      <c r="Y898" s="8"/>
      <c r="Z898" s="8" t="str">
        <f>HYPERLINK("https://knigipp.ru/api/getInfo/image/35741e10-b65a-11f0-a286-00155d82e908")</f>
        <v>https://knigipp.ru/api/getInfo/image/35741e10-b65a-11f0-a286-00155d82e908</v>
      </c>
      <c r="AA898" s="34">
        <v>144</v>
      </c>
      <c r="AB898" s="8" t="s">
        <v>761</v>
      </c>
      <c r="AC898" s="8" t="s">
        <v>86</v>
      </c>
      <c r="AD898" s="8"/>
      <c r="AE898" s="8" t="s">
        <v>49</v>
      </c>
      <c r="AF898" s="8"/>
      <c r="AG898" s="8"/>
      <c r="AH898" s="8" t="s">
        <v>1876</v>
      </c>
    </row>
    <row r="899" spans="2:34" ht="21" customHeight="1" outlineLevel="3" x14ac:dyDescent="0.2">
      <c r="B899" s="7">
        <v>682</v>
      </c>
      <c r="C899" s="8" t="s">
        <v>3727</v>
      </c>
      <c r="D899" s="8" t="s">
        <v>3728</v>
      </c>
      <c r="E899" s="9" t="s">
        <v>3729</v>
      </c>
      <c r="F899" s="16"/>
      <c r="G899" s="17" t="s">
        <v>3725</v>
      </c>
      <c r="H899" s="18">
        <v>20</v>
      </c>
      <c r="I899" s="19" t="s">
        <v>41</v>
      </c>
      <c r="J899" s="19"/>
      <c r="K899" s="19"/>
      <c r="L899" s="7">
        <v>1</v>
      </c>
      <c r="M899" s="21">
        <f>577*(1-P3/100)</f>
        <v>577</v>
      </c>
      <c r="N899" s="15"/>
      <c r="O899" s="19">
        <f>M899*N899</f>
        <v>0</v>
      </c>
      <c r="P899" s="38">
        <f>0.28*N899</f>
        <v>0</v>
      </c>
      <c r="Q899" s="27">
        <f>0.00037*N899</f>
        <v>0</v>
      </c>
      <c r="R899" s="28" t="s">
        <v>81</v>
      </c>
      <c r="S899" s="29" t="s">
        <v>3730</v>
      </c>
      <c r="T899" s="29" t="s">
        <v>94</v>
      </c>
      <c r="U899" s="8"/>
      <c r="V899" s="8"/>
      <c r="W899" s="8"/>
      <c r="X899" s="8"/>
      <c r="Y899" s="8"/>
      <c r="Z899" s="8" t="str">
        <f>HYPERLINK("https://knigipp.ru/api/getInfo/image/9fac102c-84cc-11f0-a284-00155d82e908")</f>
        <v>https://knigipp.ru/api/getInfo/image/9fac102c-84cc-11f0-a284-00155d82e908</v>
      </c>
      <c r="AA899" s="34">
        <v>144</v>
      </c>
      <c r="AB899" s="8" t="s">
        <v>761</v>
      </c>
      <c r="AC899" s="8" t="s">
        <v>86</v>
      </c>
      <c r="AD899" s="8"/>
      <c r="AE899" s="8" t="s">
        <v>49</v>
      </c>
      <c r="AF899" s="8"/>
      <c r="AG899" s="8"/>
      <c r="AH899" s="8" t="s">
        <v>1876</v>
      </c>
    </row>
    <row r="900" spans="2:34" ht="22.95" customHeight="1" outlineLevel="2" x14ac:dyDescent="0.2">
      <c r="B900" s="73" t="s">
        <v>3731</v>
      </c>
      <c r="C900" s="73"/>
      <c r="D900" s="73"/>
    </row>
    <row r="901" spans="2:34" ht="21" customHeight="1" outlineLevel="3" x14ac:dyDescent="0.2">
      <c r="B901" s="4">
        <v>683</v>
      </c>
      <c r="C901" s="5" t="s">
        <v>3732</v>
      </c>
      <c r="D901" s="5" t="s">
        <v>3733</v>
      </c>
      <c r="E901" s="6" t="s">
        <v>3734</v>
      </c>
      <c r="F901" s="10"/>
      <c r="G901" s="11" t="s">
        <v>3735</v>
      </c>
      <c r="H901" s="12">
        <v>20</v>
      </c>
      <c r="I901" s="13" t="s">
        <v>371</v>
      </c>
      <c r="J901" s="13"/>
      <c r="K901" s="13"/>
      <c r="L901" s="4">
        <v>2</v>
      </c>
      <c r="M901" s="14">
        <f>347*(1-P3/100)</f>
        <v>347</v>
      </c>
      <c r="N901" s="15"/>
      <c r="O901" s="13">
        <f>M901*N901</f>
        <v>0</v>
      </c>
      <c r="P901" s="22">
        <f>0.196*N901</f>
        <v>0</v>
      </c>
      <c r="Q901" s="30">
        <f>0.0009*N901</f>
        <v>0</v>
      </c>
      <c r="R901" s="24"/>
      <c r="S901" s="25" t="s">
        <v>3736</v>
      </c>
      <c r="T901" s="25" t="s">
        <v>94</v>
      </c>
      <c r="U901" s="5"/>
      <c r="V901" s="5" t="s">
        <v>3737</v>
      </c>
      <c r="W901" s="5" t="s">
        <v>46</v>
      </c>
      <c r="X901" s="5"/>
      <c r="Y901" s="5"/>
      <c r="Z901" s="5" t="str">
        <f>HYPERLINK("https://knigipp.ru/api/getInfo/image/dd8a8000-dfcd-11ef-a273-00155d82e908")</f>
        <v>https://knigipp.ru/api/getInfo/image/dd8a8000-dfcd-11ef-a273-00155d82e908</v>
      </c>
      <c r="AA901" s="33">
        <v>48</v>
      </c>
      <c r="AB901" s="5" t="s">
        <v>761</v>
      </c>
      <c r="AC901" s="5" t="s">
        <v>219</v>
      </c>
      <c r="AD901" s="5"/>
      <c r="AE901" s="5" t="s">
        <v>49</v>
      </c>
      <c r="AF901" s="5"/>
      <c r="AG901" s="5"/>
      <c r="AH901" s="5" t="s">
        <v>3738</v>
      </c>
    </row>
    <row r="902" spans="2:34" ht="21" customHeight="1" outlineLevel="3" x14ac:dyDescent="0.2">
      <c r="B902" s="4">
        <v>684</v>
      </c>
      <c r="C902" s="5" t="s">
        <v>3739</v>
      </c>
      <c r="D902" s="5" t="s">
        <v>3740</v>
      </c>
      <c r="E902" s="6" t="s">
        <v>3741</v>
      </c>
      <c r="F902" s="10"/>
      <c r="G902" s="11" t="s">
        <v>3735</v>
      </c>
      <c r="H902" s="12">
        <v>20</v>
      </c>
      <c r="I902" s="13" t="s">
        <v>41</v>
      </c>
      <c r="J902" s="13"/>
      <c r="K902" s="13"/>
      <c r="L902" s="4">
        <v>2</v>
      </c>
      <c r="M902" s="14">
        <f>347*(1-P3/100)</f>
        <v>347</v>
      </c>
      <c r="N902" s="15"/>
      <c r="O902" s="13">
        <f>M902*N902</f>
        <v>0</v>
      </c>
      <c r="P902" s="22">
        <f>0.196*N902</f>
        <v>0</v>
      </c>
      <c r="Q902" s="23">
        <f>0.00039*N902</f>
        <v>0</v>
      </c>
      <c r="R902" s="24"/>
      <c r="S902" s="25" t="s">
        <v>3742</v>
      </c>
      <c r="T902" s="25" t="s">
        <v>94</v>
      </c>
      <c r="U902" s="5"/>
      <c r="V902" s="5" t="s">
        <v>3743</v>
      </c>
      <c r="W902" s="5" t="s">
        <v>46</v>
      </c>
      <c r="X902" s="5"/>
      <c r="Y902" s="5"/>
      <c r="Z902" s="5" t="str">
        <f>HYPERLINK("https://knigipp.ru/api/getInfo/image/a7a9d71f-dfcd-11ef-a273-00155d82e908")</f>
        <v>https://knigipp.ru/api/getInfo/image/a7a9d71f-dfcd-11ef-a273-00155d82e908</v>
      </c>
      <c r="AA902" s="33">
        <v>48</v>
      </c>
      <c r="AB902" s="5" t="s">
        <v>761</v>
      </c>
      <c r="AC902" s="5" t="s">
        <v>219</v>
      </c>
      <c r="AD902" s="5"/>
      <c r="AE902" s="5" t="s">
        <v>49</v>
      </c>
      <c r="AF902" s="5"/>
      <c r="AG902" s="5"/>
      <c r="AH902" s="5" t="s">
        <v>3738</v>
      </c>
    </row>
    <row r="903" spans="2:34" ht="21" customHeight="1" outlineLevel="3" x14ac:dyDescent="0.2">
      <c r="B903" s="4">
        <v>685</v>
      </c>
      <c r="C903" s="5" t="s">
        <v>3744</v>
      </c>
      <c r="D903" s="5" t="s">
        <v>3745</v>
      </c>
      <c r="E903" s="6" t="s">
        <v>3746</v>
      </c>
      <c r="F903" s="10"/>
      <c r="G903" s="11" t="s">
        <v>3735</v>
      </c>
      <c r="H903" s="12">
        <v>20</v>
      </c>
      <c r="I903" s="13" t="s">
        <v>41</v>
      </c>
      <c r="J903" s="13"/>
      <c r="K903" s="13"/>
      <c r="L903" s="4">
        <v>2</v>
      </c>
      <c r="M903" s="14">
        <f>347*(1-P3/100)</f>
        <v>347</v>
      </c>
      <c r="N903" s="15"/>
      <c r="O903" s="13">
        <f>M903*N903</f>
        <v>0</v>
      </c>
      <c r="P903" s="22">
        <f>0.192*N903</f>
        <v>0</v>
      </c>
      <c r="Q903" s="30">
        <f>0.0009*N903</f>
        <v>0</v>
      </c>
      <c r="R903" s="24"/>
      <c r="S903" s="25" t="s">
        <v>3747</v>
      </c>
      <c r="T903" s="25" t="s">
        <v>94</v>
      </c>
      <c r="U903" s="5"/>
      <c r="V903" s="5" t="s">
        <v>3748</v>
      </c>
      <c r="W903" s="5" t="s">
        <v>46</v>
      </c>
      <c r="X903" s="5" t="s">
        <v>3749</v>
      </c>
      <c r="Y903" s="5"/>
      <c r="Z903" s="5" t="str">
        <f>HYPERLINK("https://knigipp.ru/api/getInfo/image/48509005-9f32-11ee-a257-00155d82e908")</f>
        <v>https://knigipp.ru/api/getInfo/image/48509005-9f32-11ee-a257-00155d82e908</v>
      </c>
      <c r="AA903" s="33">
        <v>48</v>
      </c>
      <c r="AB903" s="5" t="s">
        <v>761</v>
      </c>
      <c r="AC903" s="5" t="s">
        <v>219</v>
      </c>
      <c r="AD903" s="5"/>
      <c r="AE903" s="5" t="s">
        <v>49</v>
      </c>
      <c r="AF903" s="5"/>
      <c r="AG903" s="5"/>
      <c r="AH903" s="5" t="s">
        <v>3738</v>
      </c>
    </row>
    <row r="904" spans="2:34" ht="22.95" customHeight="1" outlineLevel="2" x14ac:dyDescent="0.2">
      <c r="B904" s="73" t="s">
        <v>3750</v>
      </c>
      <c r="C904" s="73"/>
      <c r="D904" s="73"/>
    </row>
    <row r="905" spans="2:34" ht="21" customHeight="1" outlineLevel="3" x14ac:dyDescent="0.2">
      <c r="B905" s="7">
        <v>686</v>
      </c>
      <c r="C905" s="8" t="s">
        <v>3751</v>
      </c>
      <c r="D905" s="8" t="s">
        <v>3752</v>
      </c>
      <c r="E905" s="9" t="s">
        <v>3753</v>
      </c>
      <c r="F905" s="16"/>
      <c r="G905" s="17" t="s">
        <v>3754</v>
      </c>
      <c r="H905" s="18">
        <v>20</v>
      </c>
      <c r="I905" s="19" t="s">
        <v>41</v>
      </c>
      <c r="J905" s="19"/>
      <c r="K905" s="19"/>
      <c r="L905" s="7">
        <v>1</v>
      </c>
      <c r="M905" s="21">
        <f>597*(1-P3/100)</f>
        <v>597</v>
      </c>
      <c r="N905" s="15"/>
      <c r="O905" s="19">
        <f>M905*N905</f>
        <v>0</v>
      </c>
      <c r="P905" s="26">
        <f>0.136*N905</f>
        <v>0</v>
      </c>
      <c r="Q905" s="27">
        <f>0.00043*N905</f>
        <v>0</v>
      </c>
      <c r="R905" s="28" t="s">
        <v>81</v>
      </c>
      <c r="S905" s="29" t="s">
        <v>3755</v>
      </c>
      <c r="T905" s="29" t="s">
        <v>94</v>
      </c>
      <c r="U905" s="8"/>
      <c r="V905" s="8"/>
      <c r="W905" s="8" t="s">
        <v>2731</v>
      </c>
      <c r="X905" s="8"/>
      <c r="Y905" s="8"/>
      <c r="Z905" s="8" t="str">
        <f>HYPERLINK("https://knigipp.ru/api/getInfo/image/335ed8e4-9dff-11f0-a285-00155d82e908")</f>
        <v>https://knigipp.ru/api/getInfo/image/335ed8e4-9dff-11f0-a285-00155d82e908</v>
      </c>
      <c r="AA905" s="34">
        <v>192</v>
      </c>
      <c r="AB905" s="8" t="s">
        <v>598</v>
      </c>
      <c r="AC905" s="8" t="s">
        <v>48</v>
      </c>
      <c r="AD905" s="8"/>
      <c r="AE905" s="8" t="s">
        <v>49</v>
      </c>
      <c r="AF905" s="8"/>
      <c r="AG905" s="8"/>
      <c r="AH905" s="8" t="s">
        <v>3756</v>
      </c>
    </row>
    <row r="906" spans="2:34" ht="21" customHeight="1" outlineLevel="3" x14ac:dyDescent="0.2">
      <c r="B906" s="7">
        <v>687</v>
      </c>
      <c r="C906" s="8" t="s">
        <v>3757</v>
      </c>
      <c r="D906" s="8" t="s">
        <v>3758</v>
      </c>
      <c r="E906" s="9" t="s">
        <v>3759</v>
      </c>
      <c r="F906" s="16"/>
      <c r="G906" s="17" t="s">
        <v>3760</v>
      </c>
      <c r="H906" s="18">
        <v>20</v>
      </c>
      <c r="I906" s="19" t="s">
        <v>41</v>
      </c>
      <c r="J906" s="19"/>
      <c r="K906" s="19"/>
      <c r="L906" s="7">
        <v>1</v>
      </c>
      <c r="M906" s="21">
        <f>597*(1-P3/100)</f>
        <v>597</v>
      </c>
      <c r="N906" s="15"/>
      <c r="O906" s="19">
        <f>M906*N906</f>
        <v>0</v>
      </c>
      <c r="P906" s="26">
        <f>0.132*N906</f>
        <v>0</v>
      </c>
      <c r="Q906" s="27">
        <f>0.00033*N906</f>
        <v>0</v>
      </c>
      <c r="R906" s="28" t="s">
        <v>81</v>
      </c>
      <c r="S906" s="29" t="s">
        <v>3761</v>
      </c>
      <c r="T906" s="29" t="s">
        <v>94</v>
      </c>
      <c r="U906" s="8"/>
      <c r="V906" s="8"/>
      <c r="W906" s="8" t="s">
        <v>2731</v>
      </c>
      <c r="X906" s="8"/>
      <c r="Y906" s="8"/>
      <c r="Z906" s="8" t="str">
        <f>HYPERLINK("https://knigipp.ru/api/getInfo/image/eda65ff5-9dfe-11f0-a285-00155d82e908")</f>
        <v>https://knigipp.ru/api/getInfo/image/eda65ff5-9dfe-11f0-a285-00155d82e908</v>
      </c>
      <c r="AA906" s="34">
        <v>192</v>
      </c>
      <c r="AB906" s="8" t="s">
        <v>598</v>
      </c>
      <c r="AC906" s="8" t="s">
        <v>48</v>
      </c>
      <c r="AD906" s="8"/>
      <c r="AE906" s="8" t="s">
        <v>49</v>
      </c>
      <c r="AF906" s="8"/>
      <c r="AG906" s="8"/>
      <c r="AH906" s="8" t="s">
        <v>3756</v>
      </c>
    </row>
    <row r="907" spans="2:34" ht="22.95" customHeight="1" outlineLevel="2" x14ac:dyDescent="0.2">
      <c r="B907" s="73" t="s">
        <v>3762</v>
      </c>
      <c r="C907" s="73"/>
      <c r="D907" s="73"/>
    </row>
    <row r="908" spans="2:34" ht="21" customHeight="1" outlineLevel="3" x14ac:dyDescent="0.2">
      <c r="B908" s="4">
        <v>688</v>
      </c>
      <c r="C908" s="5" t="s">
        <v>3763</v>
      </c>
      <c r="D908" s="5" t="s">
        <v>3764</v>
      </c>
      <c r="E908" s="6" t="s">
        <v>3765</v>
      </c>
      <c r="F908" s="10"/>
      <c r="G908" s="11" t="s">
        <v>3766</v>
      </c>
      <c r="H908" s="12">
        <v>50</v>
      </c>
      <c r="I908" s="13" t="s">
        <v>41</v>
      </c>
      <c r="J908" s="13"/>
      <c r="K908" s="13"/>
      <c r="L908" s="4">
        <v>4</v>
      </c>
      <c r="M908" s="14">
        <f>157*(1-P3/100)</f>
        <v>157</v>
      </c>
      <c r="N908" s="15"/>
      <c r="O908" s="13">
        <f>M908*N908</f>
        <v>0</v>
      </c>
      <c r="P908" s="22">
        <f>0.031*N908</f>
        <v>0</v>
      </c>
      <c r="Q908" s="23">
        <f>0.00007*N908</f>
        <v>0</v>
      </c>
      <c r="R908" s="24"/>
      <c r="S908" s="25" t="s">
        <v>3767</v>
      </c>
      <c r="T908" s="25" t="s">
        <v>94</v>
      </c>
      <c r="U908" s="5"/>
      <c r="V908" s="5" t="s">
        <v>3768</v>
      </c>
      <c r="W908" s="5" t="s">
        <v>46</v>
      </c>
      <c r="X908" s="5"/>
      <c r="Y908" s="5"/>
      <c r="Z908" s="5" t="str">
        <f>HYPERLINK("https://knigipp.ru/api/getInfo/image/38212103-563e-11f0-a27f-00155d82e908")</f>
        <v>https://knigipp.ru/api/getInfo/image/38212103-563e-11f0-a27f-00155d82e908</v>
      </c>
      <c r="AA908" s="33">
        <v>48</v>
      </c>
      <c r="AB908" s="5"/>
      <c r="AC908" s="5" t="s">
        <v>48</v>
      </c>
      <c r="AD908" s="5"/>
      <c r="AE908" s="5" t="s">
        <v>49</v>
      </c>
      <c r="AF908" s="5"/>
      <c r="AG908" s="5"/>
      <c r="AH908" s="5" t="s">
        <v>3769</v>
      </c>
    </row>
    <row r="909" spans="2:34" ht="21" customHeight="1" outlineLevel="3" x14ac:dyDescent="0.2">
      <c r="B909" s="4">
        <v>689</v>
      </c>
      <c r="C909" s="5" t="s">
        <v>3770</v>
      </c>
      <c r="D909" s="5" t="s">
        <v>3771</v>
      </c>
      <c r="E909" s="6" t="s">
        <v>3772</v>
      </c>
      <c r="F909" s="10"/>
      <c r="G909" s="11" t="s">
        <v>3766</v>
      </c>
      <c r="H909" s="12">
        <v>50</v>
      </c>
      <c r="I909" s="13" t="s">
        <v>41</v>
      </c>
      <c r="J909" s="13"/>
      <c r="K909" s="13"/>
      <c r="L909" s="4">
        <v>4</v>
      </c>
      <c r="M909" s="14">
        <f>157*(1-P3/100)</f>
        <v>157</v>
      </c>
      <c r="N909" s="15"/>
      <c r="O909" s="13">
        <f>M909*N909</f>
        <v>0</v>
      </c>
      <c r="P909" s="22">
        <f>0.025*N909</f>
        <v>0</v>
      </c>
      <c r="Q909" s="23">
        <f>0.00004*N909</f>
        <v>0</v>
      </c>
      <c r="R909" s="24"/>
      <c r="S909" s="25" t="s">
        <v>3773</v>
      </c>
      <c r="T909" s="25" t="s">
        <v>94</v>
      </c>
      <c r="U909" s="5"/>
      <c r="V909" s="5" t="s">
        <v>3774</v>
      </c>
      <c r="W909" s="5" t="s">
        <v>46</v>
      </c>
      <c r="X909" s="5"/>
      <c r="Y909" s="5"/>
      <c r="Z909" s="5" t="str">
        <f>HYPERLINK("https://knigipp.ru/api/getInfo/image/6b933ac5-563e-11f0-a27f-00155d82e908")</f>
        <v>https://knigipp.ru/api/getInfo/image/6b933ac5-563e-11f0-a27f-00155d82e908</v>
      </c>
      <c r="AA909" s="33">
        <v>48</v>
      </c>
      <c r="AB909" s="5"/>
      <c r="AC909" s="5" t="s">
        <v>48</v>
      </c>
      <c r="AD909" s="5"/>
      <c r="AE909" s="5" t="s">
        <v>49</v>
      </c>
      <c r="AF909" s="5"/>
      <c r="AG909" s="5"/>
      <c r="AH909" s="5" t="s">
        <v>3769</v>
      </c>
    </row>
    <row r="910" spans="2:34" ht="22.95" customHeight="1" outlineLevel="2" x14ac:dyDescent="0.2">
      <c r="B910" s="73" t="s">
        <v>3775</v>
      </c>
      <c r="C910" s="73"/>
      <c r="D910" s="73"/>
    </row>
    <row r="911" spans="2:34" ht="21" customHeight="1" outlineLevel="3" x14ac:dyDescent="0.2">
      <c r="B911" s="4">
        <v>690</v>
      </c>
      <c r="C911" s="5" t="s">
        <v>3776</v>
      </c>
      <c r="D911" s="5" t="s">
        <v>3777</v>
      </c>
      <c r="E911" s="6" t="s">
        <v>3778</v>
      </c>
      <c r="F911" s="10"/>
      <c r="G911" s="11" t="s">
        <v>3779</v>
      </c>
      <c r="H911" s="12">
        <v>10</v>
      </c>
      <c r="I911" s="13" t="s">
        <v>41</v>
      </c>
      <c r="J911" s="13"/>
      <c r="K911" s="13"/>
      <c r="L911" s="4">
        <v>2</v>
      </c>
      <c r="M911" s="14">
        <f>477*(1-P3/100)</f>
        <v>477</v>
      </c>
      <c r="N911" s="15"/>
      <c r="O911" s="13">
        <f>M911*N911</f>
        <v>0</v>
      </c>
      <c r="P911" s="22">
        <f>0.287*N911</f>
        <v>0</v>
      </c>
      <c r="Q911" s="23">
        <f>0.00062*N911</f>
        <v>0</v>
      </c>
      <c r="R911" s="24"/>
      <c r="S911" s="25" t="s">
        <v>3780</v>
      </c>
      <c r="T911" s="25" t="s">
        <v>94</v>
      </c>
      <c r="U911" s="5"/>
      <c r="V911" s="5"/>
      <c r="W911" s="5" t="s">
        <v>46</v>
      </c>
      <c r="X911" s="5"/>
      <c r="Y911" s="5"/>
      <c r="Z911" s="5" t="str">
        <f>HYPERLINK("https://knigipp.ru/api/getInfo/image/41c6207c-6e18-11f0-a284-00155d82e908")</f>
        <v>https://knigipp.ru/api/getInfo/image/41c6207c-6e18-11f0-a284-00155d82e908</v>
      </c>
      <c r="AA911" s="5"/>
      <c r="AB911" s="5"/>
      <c r="AC911" s="5" t="s">
        <v>86</v>
      </c>
      <c r="AD911" s="5"/>
      <c r="AE911" s="5" t="s">
        <v>49</v>
      </c>
      <c r="AF911" s="5"/>
      <c r="AG911" s="5"/>
      <c r="AH911" s="5" t="s">
        <v>3781</v>
      </c>
    </row>
    <row r="912" spans="2:34" ht="21" customHeight="1" outlineLevel="3" x14ac:dyDescent="0.2">
      <c r="B912" s="4">
        <v>691</v>
      </c>
      <c r="C912" s="5" t="s">
        <v>3782</v>
      </c>
      <c r="D912" s="5" t="s">
        <v>3783</v>
      </c>
      <c r="E912" s="6" t="s">
        <v>3784</v>
      </c>
      <c r="F912" s="10"/>
      <c r="G912" s="11" t="s">
        <v>3779</v>
      </c>
      <c r="H912" s="12">
        <v>10</v>
      </c>
      <c r="I912" s="13" t="s">
        <v>41</v>
      </c>
      <c r="J912" s="13"/>
      <c r="K912" s="13"/>
      <c r="L912" s="4">
        <v>2</v>
      </c>
      <c r="M912" s="14">
        <f>477*(1-P3/100)</f>
        <v>477</v>
      </c>
      <c r="N912" s="15"/>
      <c r="O912" s="13">
        <f>M912*N912</f>
        <v>0</v>
      </c>
      <c r="P912" s="22">
        <f>0.291*N912</f>
        <v>0</v>
      </c>
      <c r="Q912" s="23">
        <f>0.00054*N912</f>
        <v>0</v>
      </c>
      <c r="R912" s="24"/>
      <c r="S912" s="25" t="s">
        <v>3785</v>
      </c>
      <c r="T912" s="25" t="s">
        <v>94</v>
      </c>
      <c r="U912" s="5"/>
      <c r="V912" s="5"/>
      <c r="W912" s="5" t="s">
        <v>46</v>
      </c>
      <c r="X912" s="5"/>
      <c r="Y912" s="5"/>
      <c r="Z912" s="5" t="str">
        <f>HYPERLINK("https://knigipp.ru/api/getInfo/image/b6446d2e-6e18-11f0-a284-00155d82e908")</f>
        <v>https://knigipp.ru/api/getInfo/image/b6446d2e-6e18-11f0-a284-00155d82e908</v>
      </c>
      <c r="AA912" s="5"/>
      <c r="AB912" s="5"/>
      <c r="AC912" s="5" t="s">
        <v>86</v>
      </c>
      <c r="AD912" s="5"/>
      <c r="AE912" s="5" t="s">
        <v>49</v>
      </c>
      <c r="AF912" s="5"/>
      <c r="AG912" s="5"/>
      <c r="AH912" s="5" t="s">
        <v>3781</v>
      </c>
    </row>
    <row r="913" spans="2:34" ht="22.95" customHeight="1" outlineLevel="2" x14ac:dyDescent="0.2">
      <c r="B913" s="73" t="s">
        <v>3786</v>
      </c>
      <c r="C913" s="73"/>
      <c r="D913" s="73"/>
    </row>
    <row r="914" spans="2:34" ht="21" customHeight="1" outlineLevel="3" x14ac:dyDescent="0.2">
      <c r="B914" s="4">
        <v>692</v>
      </c>
      <c r="C914" s="5" t="s">
        <v>3787</v>
      </c>
      <c r="D914" s="5" t="s">
        <v>3788</v>
      </c>
      <c r="E914" s="6" t="s">
        <v>3789</v>
      </c>
      <c r="F914" s="10"/>
      <c r="G914" s="11" t="s">
        <v>3790</v>
      </c>
      <c r="H914" s="12">
        <v>30</v>
      </c>
      <c r="I914" s="13" t="s">
        <v>371</v>
      </c>
      <c r="J914" s="13"/>
      <c r="K914" s="13"/>
      <c r="L914" s="4">
        <v>20</v>
      </c>
      <c r="M914" s="14">
        <f>39*(1-P3/100)</f>
        <v>39</v>
      </c>
      <c r="N914" s="15"/>
      <c r="O914" s="13">
        <f>M914*N914</f>
        <v>0</v>
      </c>
      <c r="P914" s="13">
        <v>0</v>
      </c>
      <c r="Q914" s="13">
        <v>0</v>
      </c>
      <c r="R914" s="24"/>
      <c r="S914" s="25" t="s">
        <v>3791</v>
      </c>
      <c r="T914" s="25" t="s">
        <v>43</v>
      </c>
      <c r="U914" s="5"/>
      <c r="V914" s="5"/>
      <c r="W914" s="5" t="s">
        <v>46</v>
      </c>
      <c r="X914" s="5"/>
      <c r="Y914" s="5"/>
      <c r="Z914" s="5" t="str">
        <f>HYPERLINK("https://knigipp.ru/api/getInfo/image/b94f44bb-0440-11ee-a23b-00155d82e902")</f>
        <v>https://knigipp.ru/api/getInfo/image/b94f44bb-0440-11ee-a23b-00155d82e902</v>
      </c>
      <c r="AA914" s="33">
        <v>64</v>
      </c>
      <c r="AB914" s="5" t="s">
        <v>47</v>
      </c>
      <c r="AC914" s="5" t="s">
        <v>96</v>
      </c>
      <c r="AD914" s="5"/>
      <c r="AE914" s="5" t="s">
        <v>49</v>
      </c>
      <c r="AF914" s="5"/>
      <c r="AG914" s="5"/>
      <c r="AH914" s="5" t="s">
        <v>3792</v>
      </c>
    </row>
    <row r="915" spans="2:34" ht="21" customHeight="1" outlineLevel="3" x14ac:dyDescent="0.2">
      <c r="B915" s="4">
        <v>693</v>
      </c>
      <c r="C915" s="5" t="s">
        <v>3793</v>
      </c>
      <c r="D915" s="5" t="s">
        <v>3794</v>
      </c>
      <c r="E915" s="6" t="s">
        <v>3795</v>
      </c>
      <c r="F915" s="10"/>
      <c r="G915" s="11" t="s">
        <v>3790</v>
      </c>
      <c r="H915" s="12">
        <v>30</v>
      </c>
      <c r="I915" s="13" t="s">
        <v>41</v>
      </c>
      <c r="J915" s="13"/>
      <c r="K915" s="13"/>
      <c r="L915" s="4">
        <v>20</v>
      </c>
      <c r="M915" s="14">
        <f>39*(1-P3/100)</f>
        <v>39</v>
      </c>
      <c r="N915" s="15"/>
      <c r="O915" s="13">
        <f>M915*N915</f>
        <v>0</v>
      </c>
      <c r="P915" s="13">
        <v>0</v>
      </c>
      <c r="Q915" s="13">
        <v>0</v>
      </c>
      <c r="R915" s="24"/>
      <c r="S915" s="25" t="s">
        <v>3796</v>
      </c>
      <c r="T915" s="25" t="s">
        <v>43</v>
      </c>
      <c r="U915" s="5"/>
      <c r="V915" s="5"/>
      <c r="W915" s="5" t="s">
        <v>46</v>
      </c>
      <c r="X915" s="5"/>
      <c r="Y915" s="5"/>
      <c r="Z915" s="5" t="str">
        <f>HYPERLINK("https://knigipp.ru/api/getInfo/image/5222fe80-0440-11ee-a23b-00155d82e902")</f>
        <v>https://knigipp.ru/api/getInfo/image/5222fe80-0440-11ee-a23b-00155d82e902</v>
      </c>
      <c r="AA915" s="33">
        <v>64</v>
      </c>
      <c r="AB915" s="5" t="s">
        <v>47</v>
      </c>
      <c r="AC915" s="5" t="s">
        <v>96</v>
      </c>
      <c r="AD915" s="5"/>
      <c r="AE915" s="5" t="s">
        <v>49</v>
      </c>
      <c r="AF915" s="5"/>
      <c r="AG915" s="5"/>
      <c r="AH915" s="5" t="s">
        <v>3792</v>
      </c>
    </row>
    <row r="916" spans="2:34" ht="21" customHeight="1" outlineLevel="3" x14ac:dyDescent="0.2">
      <c r="B916" s="4">
        <v>694</v>
      </c>
      <c r="C916" s="5" t="s">
        <v>3797</v>
      </c>
      <c r="D916" s="5" t="s">
        <v>3798</v>
      </c>
      <c r="E916" s="6" t="s">
        <v>3799</v>
      </c>
      <c r="F916" s="10"/>
      <c r="G916" s="11" t="s">
        <v>3790</v>
      </c>
      <c r="H916" s="12">
        <v>30</v>
      </c>
      <c r="I916" s="13" t="s">
        <v>41</v>
      </c>
      <c r="J916" s="13"/>
      <c r="K916" s="13"/>
      <c r="L916" s="4">
        <v>20</v>
      </c>
      <c r="M916" s="14">
        <f>39*(1-P3/100)</f>
        <v>39</v>
      </c>
      <c r="N916" s="15"/>
      <c r="O916" s="13">
        <f>M916*N916</f>
        <v>0</v>
      </c>
      <c r="P916" s="13">
        <v>0</v>
      </c>
      <c r="Q916" s="13">
        <v>0</v>
      </c>
      <c r="R916" s="24"/>
      <c r="S916" s="25" t="s">
        <v>3800</v>
      </c>
      <c r="T916" s="25" t="s">
        <v>43</v>
      </c>
      <c r="U916" s="5"/>
      <c r="V916" s="5"/>
      <c r="W916" s="5" t="s">
        <v>46</v>
      </c>
      <c r="X916" s="5"/>
      <c r="Y916" s="5"/>
      <c r="Z916" s="5" t="str">
        <f>HYPERLINK("https://knigipp.ru/api/getInfo/image/2c10526c-0440-11ee-a23b-00155d82e902")</f>
        <v>https://knigipp.ru/api/getInfo/image/2c10526c-0440-11ee-a23b-00155d82e902</v>
      </c>
      <c r="AA916" s="33">
        <v>64</v>
      </c>
      <c r="AB916" s="5" t="s">
        <v>47</v>
      </c>
      <c r="AC916" s="5" t="s">
        <v>96</v>
      </c>
      <c r="AD916" s="5"/>
      <c r="AE916" s="5" t="s">
        <v>49</v>
      </c>
      <c r="AF916" s="5"/>
      <c r="AG916" s="5"/>
      <c r="AH916" s="5" t="s">
        <v>3792</v>
      </c>
    </row>
    <row r="917" spans="2:34" ht="21" customHeight="1" outlineLevel="3" x14ac:dyDescent="0.2">
      <c r="B917" s="4">
        <v>695</v>
      </c>
      <c r="C917" s="5" t="s">
        <v>3801</v>
      </c>
      <c r="D917" s="5" t="s">
        <v>3802</v>
      </c>
      <c r="E917" s="6" t="s">
        <v>3803</v>
      </c>
      <c r="F917" s="10"/>
      <c r="G917" s="11" t="s">
        <v>3790</v>
      </c>
      <c r="H917" s="12">
        <v>30</v>
      </c>
      <c r="I917" s="13" t="s">
        <v>41</v>
      </c>
      <c r="J917" s="13"/>
      <c r="K917" s="13"/>
      <c r="L917" s="4">
        <v>20</v>
      </c>
      <c r="M917" s="14">
        <f>39*(1-P3/100)</f>
        <v>39</v>
      </c>
      <c r="N917" s="15"/>
      <c r="O917" s="13">
        <f>M917*N917</f>
        <v>0</v>
      </c>
      <c r="P917" s="13">
        <v>0</v>
      </c>
      <c r="Q917" s="13">
        <v>0</v>
      </c>
      <c r="R917" s="24"/>
      <c r="S917" s="25" t="s">
        <v>3804</v>
      </c>
      <c r="T917" s="25" t="s">
        <v>43</v>
      </c>
      <c r="U917" s="5"/>
      <c r="V917" s="5"/>
      <c r="W917" s="5" t="s">
        <v>46</v>
      </c>
      <c r="X917" s="5"/>
      <c r="Y917" s="5"/>
      <c r="Z917" s="5" t="str">
        <f>HYPERLINK("https://knigipp.ru/api/getInfo/image/873b69fa-0440-11ee-a23b-00155d82e902")</f>
        <v>https://knigipp.ru/api/getInfo/image/873b69fa-0440-11ee-a23b-00155d82e902</v>
      </c>
      <c r="AA917" s="33">
        <v>64</v>
      </c>
      <c r="AB917" s="5" t="s">
        <v>47</v>
      </c>
      <c r="AC917" s="5" t="s">
        <v>96</v>
      </c>
      <c r="AD917" s="5"/>
      <c r="AE917" s="5" t="s">
        <v>49</v>
      </c>
      <c r="AF917" s="5"/>
      <c r="AG917" s="5"/>
      <c r="AH917" s="5" t="s">
        <v>3792</v>
      </c>
    </row>
    <row r="918" spans="2:34" ht="22.95" customHeight="1" outlineLevel="2" x14ac:dyDescent="0.2">
      <c r="B918" s="73" t="s">
        <v>3805</v>
      </c>
      <c r="C918" s="73"/>
      <c r="D918" s="73"/>
    </row>
    <row r="919" spans="2:34" ht="21" customHeight="1" outlineLevel="3" x14ac:dyDescent="0.2">
      <c r="B919" s="4">
        <v>696</v>
      </c>
      <c r="C919" s="5" t="s">
        <v>3806</v>
      </c>
      <c r="D919" s="5" t="s">
        <v>3807</v>
      </c>
      <c r="E919" s="6" t="s">
        <v>3808</v>
      </c>
      <c r="F919" s="10"/>
      <c r="G919" s="11" t="s">
        <v>3809</v>
      </c>
      <c r="H919" s="12">
        <v>20</v>
      </c>
      <c r="I919" s="13" t="s">
        <v>41</v>
      </c>
      <c r="J919" s="13"/>
      <c r="K919" s="13"/>
      <c r="L919" s="4">
        <v>3</v>
      </c>
      <c r="M919" s="14">
        <f>199*(1-P3/100)</f>
        <v>199</v>
      </c>
      <c r="N919" s="15"/>
      <c r="O919" s="13">
        <f>M919*N919</f>
        <v>0</v>
      </c>
      <c r="P919" s="22">
        <f>0.155*N919</f>
        <v>0</v>
      </c>
      <c r="Q919" s="23">
        <f>0.00034*N919</f>
        <v>0</v>
      </c>
      <c r="R919" s="24"/>
      <c r="S919" s="25" t="s">
        <v>3810</v>
      </c>
      <c r="T919" s="25" t="s">
        <v>43</v>
      </c>
      <c r="U919" s="5"/>
      <c r="V919" s="5" t="s">
        <v>3811</v>
      </c>
      <c r="W919" s="5" t="s">
        <v>46</v>
      </c>
      <c r="X919" s="5"/>
      <c r="Y919" s="5"/>
      <c r="Z919" s="5" t="str">
        <f>HYPERLINK("https://knigipp.ru/api/getInfo/image/23e5b17a-c4f5-11ef-a268-00155d82e908")</f>
        <v>https://knigipp.ru/api/getInfo/image/23e5b17a-c4f5-11ef-a268-00155d82e908</v>
      </c>
      <c r="AA919" s="33">
        <v>48</v>
      </c>
      <c r="AB919" s="5" t="s">
        <v>47</v>
      </c>
      <c r="AC919" s="5" t="s">
        <v>48</v>
      </c>
      <c r="AD919" s="5"/>
      <c r="AE919" s="5" t="s">
        <v>49</v>
      </c>
      <c r="AF919" s="5"/>
      <c r="AG919" s="5"/>
      <c r="AH919" s="5" t="s">
        <v>3812</v>
      </c>
    </row>
    <row r="920" spans="2:34" ht="21" customHeight="1" outlineLevel="3" x14ac:dyDescent="0.2">
      <c r="B920" s="4">
        <v>697</v>
      </c>
      <c r="C920" s="5" t="s">
        <v>3813</v>
      </c>
      <c r="D920" s="5" t="s">
        <v>3814</v>
      </c>
      <c r="E920" s="6" t="s">
        <v>3815</v>
      </c>
      <c r="F920" s="10"/>
      <c r="G920" s="11" t="s">
        <v>3809</v>
      </c>
      <c r="H920" s="12">
        <v>20</v>
      </c>
      <c r="I920" s="13" t="s">
        <v>41</v>
      </c>
      <c r="J920" s="13"/>
      <c r="K920" s="13"/>
      <c r="L920" s="4">
        <v>3</v>
      </c>
      <c r="M920" s="14">
        <f>199*(1-P3/100)</f>
        <v>199</v>
      </c>
      <c r="N920" s="15"/>
      <c r="O920" s="13">
        <f>M920*N920</f>
        <v>0</v>
      </c>
      <c r="P920" s="22">
        <f>0.152*N920</f>
        <v>0</v>
      </c>
      <c r="Q920" s="23">
        <f>0.00034*N920</f>
        <v>0</v>
      </c>
      <c r="R920" s="24"/>
      <c r="S920" s="25" t="s">
        <v>3816</v>
      </c>
      <c r="T920" s="25" t="s">
        <v>43</v>
      </c>
      <c r="U920" s="5"/>
      <c r="V920" s="5" t="s">
        <v>3817</v>
      </c>
      <c r="W920" s="5" t="s">
        <v>46</v>
      </c>
      <c r="X920" s="5"/>
      <c r="Y920" s="5"/>
      <c r="Z920" s="5" t="str">
        <f>HYPERLINK("https://knigipp.ru/api/getInfo/image/56464fae-c4f5-11ef-a268-00155d82e908")</f>
        <v>https://knigipp.ru/api/getInfo/image/56464fae-c4f5-11ef-a268-00155d82e908</v>
      </c>
      <c r="AA920" s="33">
        <v>48</v>
      </c>
      <c r="AB920" s="5" t="s">
        <v>47</v>
      </c>
      <c r="AC920" s="5" t="s">
        <v>48</v>
      </c>
      <c r="AD920" s="5"/>
      <c r="AE920" s="5" t="s">
        <v>49</v>
      </c>
      <c r="AF920" s="5"/>
      <c r="AG920" s="5"/>
      <c r="AH920" s="5" t="s">
        <v>3812</v>
      </c>
    </row>
    <row r="921" spans="2:34" ht="22.95" customHeight="1" outlineLevel="2" x14ac:dyDescent="0.2">
      <c r="B921" s="73" t="s">
        <v>3818</v>
      </c>
      <c r="C921" s="73"/>
      <c r="D921" s="73"/>
    </row>
    <row r="922" spans="2:34" ht="21" customHeight="1" outlineLevel="3" x14ac:dyDescent="0.2">
      <c r="B922" s="4">
        <v>698</v>
      </c>
      <c r="C922" s="5" t="s">
        <v>3819</v>
      </c>
      <c r="D922" s="5" t="s">
        <v>3820</v>
      </c>
      <c r="E922" s="6" t="s">
        <v>3821</v>
      </c>
      <c r="F922" s="10"/>
      <c r="G922" s="11" t="s">
        <v>3822</v>
      </c>
      <c r="H922" s="12">
        <v>30</v>
      </c>
      <c r="I922" s="13" t="s">
        <v>41</v>
      </c>
      <c r="J922" s="13"/>
      <c r="K922" s="13"/>
      <c r="L922" s="4">
        <v>8</v>
      </c>
      <c r="M922" s="14">
        <f>79*(1-P3/100)</f>
        <v>79</v>
      </c>
      <c r="N922" s="15"/>
      <c r="O922" s="13">
        <f>M922*N922</f>
        <v>0</v>
      </c>
      <c r="P922" s="22">
        <f>0.095*N922</f>
        <v>0</v>
      </c>
      <c r="Q922" s="23">
        <f>0.00018*N922</f>
        <v>0</v>
      </c>
      <c r="R922" s="24"/>
      <c r="S922" s="25" t="s">
        <v>3823</v>
      </c>
      <c r="T922" s="25" t="s">
        <v>94</v>
      </c>
      <c r="U922" s="5"/>
      <c r="V922" s="5" t="s">
        <v>3824</v>
      </c>
      <c r="W922" s="5" t="s">
        <v>46</v>
      </c>
      <c r="X922" s="5"/>
      <c r="Y922" s="5"/>
      <c r="Z922" s="5" t="str">
        <f>HYPERLINK("https://knigipp.ru/api/getInfo/image/f6bf7b78-4f36-11ef-a262-00155d82e908")</f>
        <v>https://knigipp.ru/api/getInfo/image/f6bf7b78-4f36-11ef-a262-00155d82e908</v>
      </c>
      <c r="AA922" s="33">
        <v>48</v>
      </c>
      <c r="AB922" s="5" t="s">
        <v>47</v>
      </c>
      <c r="AC922" s="5" t="s">
        <v>96</v>
      </c>
      <c r="AD922" s="5"/>
      <c r="AE922" s="5" t="s">
        <v>49</v>
      </c>
      <c r="AF922" s="5"/>
      <c r="AG922" s="5"/>
      <c r="AH922" s="5" t="s">
        <v>3825</v>
      </c>
    </row>
    <row r="923" spans="2:34" ht="21" customHeight="1" outlineLevel="3" x14ac:dyDescent="0.2">
      <c r="B923" s="4">
        <v>699</v>
      </c>
      <c r="C923" s="5" t="s">
        <v>3826</v>
      </c>
      <c r="D923" s="5" t="s">
        <v>3827</v>
      </c>
      <c r="E923" s="6" t="s">
        <v>3828</v>
      </c>
      <c r="F923" s="10"/>
      <c r="G923" s="11" t="s">
        <v>3822</v>
      </c>
      <c r="H923" s="12">
        <v>30</v>
      </c>
      <c r="I923" s="13" t="s">
        <v>41</v>
      </c>
      <c r="J923" s="13"/>
      <c r="K923" s="13"/>
      <c r="L923" s="4">
        <v>8</v>
      </c>
      <c r="M923" s="14">
        <f>79*(1-P3/100)</f>
        <v>79</v>
      </c>
      <c r="N923" s="15"/>
      <c r="O923" s="13">
        <f>M923*N923</f>
        <v>0</v>
      </c>
      <c r="P923" s="22">
        <f>0.099*N923</f>
        <v>0</v>
      </c>
      <c r="Q923" s="23">
        <f>0.00015*N923</f>
        <v>0</v>
      </c>
      <c r="R923" s="24"/>
      <c r="S923" s="25" t="s">
        <v>3829</v>
      </c>
      <c r="T923" s="25" t="s">
        <v>94</v>
      </c>
      <c r="U923" s="5"/>
      <c r="V923" s="5" t="s">
        <v>3830</v>
      </c>
      <c r="W923" s="5" t="s">
        <v>46</v>
      </c>
      <c r="X923" s="5"/>
      <c r="Y923" s="5"/>
      <c r="Z923" s="5" t="str">
        <f>HYPERLINK("https://knigipp.ru/api/getInfo/image/240063cb-4f37-11ef-a262-00155d82e908")</f>
        <v>https://knigipp.ru/api/getInfo/image/240063cb-4f37-11ef-a262-00155d82e908</v>
      </c>
      <c r="AA923" s="33">
        <v>48</v>
      </c>
      <c r="AB923" s="5" t="s">
        <v>47</v>
      </c>
      <c r="AC923" s="5" t="s">
        <v>96</v>
      </c>
      <c r="AD923" s="5"/>
      <c r="AE923" s="5" t="s">
        <v>49</v>
      </c>
      <c r="AF923" s="5"/>
      <c r="AG923" s="5"/>
      <c r="AH923" s="5" t="s">
        <v>3825</v>
      </c>
    </row>
    <row r="924" spans="2:34" ht="21" customHeight="1" outlineLevel="3" x14ac:dyDescent="0.2">
      <c r="B924" s="4">
        <v>700</v>
      </c>
      <c r="C924" s="5" t="s">
        <v>3831</v>
      </c>
      <c r="D924" s="5" t="s">
        <v>3832</v>
      </c>
      <c r="E924" s="6" t="s">
        <v>3833</v>
      </c>
      <c r="F924" s="10"/>
      <c r="G924" s="11" t="s">
        <v>3822</v>
      </c>
      <c r="H924" s="12">
        <v>30</v>
      </c>
      <c r="I924" s="13" t="s">
        <v>41</v>
      </c>
      <c r="J924" s="13"/>
      <c r="K924" s="13"/>
      <c r="L924" s="4">
        <v>8</v>
      </c>
      <c r="M924" s="14">
        <f>79*(1-P3/100)</f>
        <v>79</v>
      </c>
      <c r="N924" s="15"/>
      <c r="O924" s="13">
        <f>M924*N924</f>
        <v>0</v>
      </c>
      <c r="P924" s="22">
        <f>0.061*N924</f>
        <v>0</v>
      </c>
      <c r="Q924" s="23">
        <f>0.00033*N924</f>
        <v>0</v>
      </c>
      <c r="R924" s="24"/>
      <c r="S924" s="25" t="s">
        <v>3834</v>
      </c>
      <c r="T924" s="25" t="s">
        <v>94</v>
      </c>
      <c r="U924" s="5"/>
      <c r="V924" s="5" t="s">
        <v>3835</v>
      </c>
      <c r="W924" s="5" t="s">
        <v>46</v>
      </c>
      <c r="X924" s="5"/>
      <c r="Y924" s="5"/>
      <c r="Z924" s="5" t="str">
        <f>HYPERLINK("https://knigipp.ru/api/getInfo/image/527e971a-4f37-11ef-a262-00155d82e908")</f>
        <v>https://knigipp.ru/api/getInfo/image/527e971a-4f37-11ef-a262-00155d82e908</v>
      </c>
      <c r="AA924" s="33">
        <v>48</v>
      </c>
      <c r="AB924" s="5" t="s">
        <v>47</v>
      </c>
      <c r="AC924" s="5" t="s">
        <v>96</v>
      </c>
      <c r="AD924" s="5"/>
      <c r="AE924" s="5" t="s">
        <v>49</v>
      </c>
      <c r="AF924" s="5"/>
      <c r="AG924" s="5"/>
      <c r="AH924" s="5" t="s">
        <v>3825</v>
      </c>
    </row>
    <row r="925" spans="2:34" ht="21" customHeight="1" outlineLevel="3" x14ac:dyDescent="0.2">
      <c r="B925" s="4">
        <v>701</v>
      </c>
      <c r="C925" s="5" t="s">
        <v>3836</v>
      </c>
      <c r="D925" s="5" t="s">
        <v>3837</v>
      </c>
      <c r="E925" s="6" t="s">
        <v>3838</v>
      </c>
      <c r="F925" s="10"/>
      <c r="G925" s="11" t="s">
        <v>3822</v>
      </c>
      <c r="H925" s="12">
        <v>30</v>
      </c>
      <c r="I925" s="13" t="s">
        <v>41</v>
      </c>
      <c r="J925" s="13"/>
      <c r="K925" s="13"/>
      <c r="L925" s="4">
        <v>8</v>
      </c>
      <c r="M925" s="14">
        <f>79*(1-P3/100)</f>
        <v>79</v>
      </c>
      <c r="N925" s="15"/>
      <c r="O925" s="13">
        <f>M925*N925</f>
        <v>0</v>
      </c>
      <c r="P925" s="22">
        <f>0.095*N925</f>
        <v>0</v>
      </c>
      <c r="Q925" s="23">
        <f>0.00025*N925</f>
        <v>0</v>
      </c>
      <c r="R925" s="24"/>
      <c r="S925" s="25" t="s">
        <v>3839</v>
      </c>
      <c r="T925" s="25" t="s">
        <v>94</v>
      </c>
      <c r="U925" s="5"/>
      <c r="V925" s="5" t="s">
        <v>3840</v>
      </c>
      <c r="W925" s="5" t="s">
        <v>46</v>
      </c>
      <c r="X925" s="5"/>
      <c r="Y925" s="5"/>
      <c r="Z925" s="5" t="str">
        <f>HYPERLINK("https://knigipp.ru/api/getInfo/image/6df7fb0f-4f37-11ef-a262-00155d82e908")</f>
        <v>https://knigipp.ru/api/getInfo/image/6df7fb0f-4f37-11ef-a262-00155d82e908</v>
      </c>
      <c r="AA925" s="33">
        <v>48</v>
      </c>
      <c r="AB925" s="5" t="s">
        <v>47</v>
      </c>
      <c r="AC925" s="5" t="s">
        <v>96</v>
      </c>
      <c r="AD925" s="5"/>
      <c r="AE925" s="5" t="s">
        <v>49</v>
      </c>
      <c r="AF925" s="5"/>
      <c r="AG925" s="5"/>
      <c r="AH925" s="5" t="s">
        <v>3825</v>
      </c>
    </row>
    <row r="926" spans="2:34" ht="22.95" customHeight="1" outlineLevel="2" x14ac:dyDescent="0.2">
      <c r="B926" s="73" t="s">
        <v>3841</v>
      </c>
      <c r="C926" s="73"/>
      <c r="D926" s="73"/>
    </row>
    <row r="927" spans="2:34" ht="21" customHeight="1" outlineLevel="3" x14ac:dyDescent="0.2">
      <c r="B927" s="4">
        <v>702</v>
      </c>
      <c r="C927" s="5" t="s">
        <v>3842</v>
      </c>
      <c r="D927" s="5" t="s">
        <v>3843</v>
      </c>
      <c r="E927" s="6" t="s">
        <v>3844</v>
      </c>
      <c r="F927" s="10"/>
      <c r="G927" s="11" t="s">
        <v>3845</v>
      </c>
      <c r="H927" s="12">
        <v>30</v>
      </c>
      <c r="I927" s="13" t="s">
        <v>371</v>
      </c>
      <c r="J927" s="13"/>
      <c r="K927" s="13"/>
      <c r="L927" s="4">
        <v>14</v>
      </c>
      <c r="M927" s="14">
        <f>49*(1-P3/100)</f>
        <v>49</v>
      </c>
      <c r="N927" s="15"/>
      <c r="O927" s="13">
        <f t="shared" ref="O927:O932" si="26">M927*N927</f>
        <v>0</v>
      </c>
      <c r="P927" s="22">
        <f>0.067*N927</f>
        <v>0</v>
      </c>
      <c r="Q927" s="23">
        <f>0.00005*N927</f>
        <v>0</v>
      </c>
      <c r="R927" s="24"/>
      <c r="S927" s="25" t="s">
        <v>3846</v>
      </c>
      <c r="T927" s="25" t="s">
        <v>94</v>
      </c>
      <c r="U927" s="5"/>
      <c r="V927" s="5"/>
      <c r="W927" s="5" t="s">
        <v>46</v>
      </c>
      <c r="X927" s="5"/>
      <c r="Y927" s="5"/>
      <c r="Z927" s="5" t="str">
        <f>HYPERLINK("https://knigipp.ru/api/getInfo/image/c58549ab-cc8a-11e8-a20d-ac1f6b442184")</f>
        <v>https://knigipp.ru/api/getInfo/image/c58549ab-cc8a-11e8-a20d-ac1f6b442184</v>
      </c>
      <c r="AA927" s="33">
        <v>32</v>
      </c>
      <c r="AB927" s="5"/>
      <c r="AC927" s="5" t="s">
        <v>96</v>
      </c>
      <c r="AD927" s="5"/>
      <c r="AE927" s="5" t="s">
        <v>49</v>
      </c>
      <c r="AF927" s="5"/>
      <c r="AG927" s="5" t="s">
        <v>3847</v>
      </c>
      <c r="AH927" s="5" t="s">
        <v>3848</v>
      </c>
    </row>
    <row r="928" spans="2:34" ht="21" customHeight="1" outlineLevel="3" x14ac:dyDescent="0.2">
      <c r="B928" s="4">
        <v>703</v>
      </c>
      <c r="C928" s="5" t="s">
        <v>3849</v>
      </c>
      <c r="D928" s="5" t="s">
        <v>3850</v>
      </c>
      <c r="E928" s="6" t="s">
        <v>3851</v>
      </c>
      <c r="F928" s="10"/>
      <c r="G928" s="11" t="s">
        <v>3845</v>
      </c>
      <c r="H928" s="12">
        <v>30</v>
      </c>
      <c r="I928" s="13" t="s">
        <v>41</v>
      </c>
      <c r="J928" s="13"/>
      <c r="K928" s="13"/>
      <c r="L928" s="4">
        <v>10</v>
      </c>
      <c r="M928" s="14">
        <f>69.7*(1-P3/100)</f>
        <v>69.7</v>
      </c>
      <c r="N928" s="15"/>
      <c r="O928" s="13">
        <f t="shared" si="26"/>
        <v>0</v>
      </c>
      <c r="P928" s="13">
        <v>0</v>
      </c>
      <c r="Q928" s="13">
        <v>0</v>
      </c>
      <c r="R928" s="24"/>
      <c r="S928" s="25" t="s">
        <v>3852</v>
      </c>
      <c r="T928" s="25" t="s">
        <v>94</v>
      </c>
      <c r="U928" s="5"/>
      <c r="V928" s="5"/>
      <c r="W928" s="5" t="s">
        <v>46</v>
      </c>
      <c r="X928" s="5"/>
      <c r="Y928" s="5"/>
      <c r="Z928" s="5" t="str">
        <f>HYPERLINK("https://knigipp.ru/api/getInfo/image/3e489bb5-982a-11ee-a250-00155d82e908")</f>
        <v>https://knigipp.ru/api/getInfo/image/3e489bb5-982a-11ee-a250-00155d82e908</v>
      </c>
      <c r="AA928" s="33">
        <v>32</v>
      </c>
      <c r="AB928" s="5"/>
      <c r="AC928" s="5" t="s">
        <v>96</v>
      </c>
      <c r="AD928" s="5"/>
      <c r="AE928" s="5" t="s">
        <v>49</v>
      </c>
      <c r="AF928" s="5"/>
      <c r="AG928" s="5" t="s">
        <v>3847</v>
      </c>
      <c r="AH928" s="5" t="s">
        <v>3848</v>
      </c>
    </row>
    <row r="929" spans="2:34" ht="21" customHeight="1" outlineLevel="3" x14ac:dyDescent="0.2">
      <c r="B929" s="4">
        <v>704</v>
      </c>
      <c r="C929" s="5" t="s">
        <v>3853</v>
      </c>
      <c r="D929" s="5" t="s">
        <v>3854</v>
      </c>
      <c r="E929" s="6" t="s">
        <v>3855</v>
      </c>
      <c r="F929" s="10"/>
      <c r="G929" s="11" t="s">
        <v>3845</v>
      </c>
      <c r="H929" s="12">
        <v>30</v>
      </c>
      <c r="I929" s="13" t="s">
        <v>41</v>
      </c>
      <c r="J929" s="13"/>
      <c r="K929" s="13"/>
      <c r="L929" s="4">
        <v>10</v>
      </c>
      <c r="M929" s="14">
        <f>69.7*(1-P3/100)</f>
        <v>69.7</v>
      </c>
      <c r="N929" s="15"/>
      <c r="O929" s="13">
        <f t="shared" si="26"/>
        <v>0</v>
      </c>
      <c r="P929" s="22">
        <f>0.061*N929</f>
        <v>0</v>
      </c>
      <c r="Q929" s="23">
        <f>0.00017*N929</f>
        <v>0</v>
      </c>
      <c r="R929" s="24"/>
      <c r="S929" s="25" t="s">
        <v>3856</v>
      </c>
      <c r="T929" s="25" t="s">
        <v>94</v>
      </c>
      <c r="U929" s="5"/>
      <c r="V929" s="5"/>
      <c r="W929" s="5" t="s">
        <v>46</v>
      </c>
      <c r="X929" s="5"/>
      <c r="Y929" s="5"/>
      <c r="Z929" s="5" t="str">
        <f>HYPERLINK("https://knigipp.ru/api/getInfo/image/8dfc9bf0-982a-11ee-a250-00155d82e908")</f>
        <v>https://knigipp.ru/api/getInfo/image/8dfc9bf0-982a-11ee-a250-00155d82e908</v>
      </c>
      <c r="AA929" s="33">
        <v>32</v>
      </c>
      <c r="AB929" s="5"/>
      <c r="AC929" s="5" t="s">
        <v>96</v>
      </c>
      <c r="AD929" s="5"/>
      <c r="AE929" s="5" t="s">
        <v>49</v>
      </c>
      <c r="AF929" s="5"/>
      <c r="AG929" s="5" t="s">
        <v>3847</v>
      </c>
      <c r="AH929" s="5" t="s">
        <v>3848</v>
      </c>
    </row>
    <row r="930" spans="2:34" ht="21" customHeight="1" outlineLevel="3" x14ac:dyDescent="0.2">
      <c r="B930" s="4">
        <v>705</v>
      </c>
      <c r="C930" s="5" t="s">
        <v>3857</v>
      </c>
      <c r="D930" s="5" t="s">
        <v>3858</v>
      </c>
      <c r="E930" s="6" t="s">
        <v>3859</v>
      </c>
      <c r="F930" s="10"/>
      <c r="G930" s="11" t="s">
        <v>3845</v>
      </c>
      <c r="H930" s="12">
        <v>30</v>
      </c>
      <c r="I930" s="13" t="s">
        <v>41</v>
      </c>
      <c r="J930" s="13"/>
      <c r="K930" s="13"/>
      <c r="L930" s="4">
        <v>10</v>
      </c>
      <c r="M930" s="14">
        <f>69.7*(1-P3/100)</f>
        <v>69.7</v>
      </c>
      <c r="N930" s="15"/>
      <c r="O930" s="13">
        <f t="shared" si="26"/>
        <v>0</v>
      </c>
      <c r="P930" s="22">
        <f>0.061*N930</f>
        <v>0</v>
      </c>
      <c r="Q930" s="23">
        <f>0.00017*N930</f>
        <v>0</v>
      </c>
      <c r="R930" s="24"/>
      <c r="S930" s="25" t="s">
        <v>3860</v>
      </c>
      <c r="T930" s="25" t="s">
        <v>94</v>
      </c>
      <c r="U930" s="5"/>
      <c r="V930" s="5"/>
      <c r="W930" s="5" t="s">
        <v>46</v>
      </c>
      <c r="X930" s="5"/>
      <c r="Y930" s="5"/>
      <c r="Z930" s="5" t="str">
        <f>HYPERLINK("https://knigipp.ru/api/getInfo/image/69ed369f-9828-11ee-a250-00155d82e908")</f>
        <v>https://knigipp.ru/api/getInfo/image/69ed369f-9828-11ee-a250-00155d82e908</v>
      </c>
      <c r="AA930" s="33">
        <v>32</v>
      </c>
      <c r="AB930" s="5"/>
      <c r="AC930" s="5" t="s">
        <v>96</v>
      </c>
      <c r="AD930" s="5"/>
      <c r="AE930" s="5" t="s">
        <v>49</v>
      </c>
      <c r="AF930" s="5"/>
      <c r="AG930" s="5" t="s">
        <v>3847</v>
      </c>
      <c r="AH930" s="5" t="s">
        <v>3848</v>
      </c>
    </row>
    <row r="931" spans="2:34" ht="21" customHeight="1" outlineLevel="3" x14ac:dyDescent="0.2">
      <c r="B931" s="4">
        <v>706</v>
      </c>
      <c r="C931" s="5" t="s">
        <v>3861</v>
      </c>
      <c r="D931" s="5" t="s">
        <v>3862</v>
      </c>
      <c r="E931" s="6" t="s">
        <v>3863</v>
      </c>
      <c r="F931" s="10"/>
      <c r="G931" s="11" t="s">
        <v>3845</v>
      </c>
      <c r="H931" s="12">
        <v>30</v>
      </c>
      <c r="I931" s="13" t="s">
        <v>41</v>
      </c>
      <c r="J931" s="13"/>
      <c r="K931" s="13"/>
      <c r="L931" s="4">
        <v>10</v>
      </c>
      <c r="M931" s="14">
        <f>69.7*(1-P3/100)</f>
        <v>69.7</v>
      </c>
      <c r="N931" s="15"/>
      <c r="O931" s="13">
        <f t="shared" si="26"/>
        <v>0</v>
      </c>
      <c r="P931" s="22">
        <f>0.061*N931</f>
        <v>0</v>
      </c>
      <c r="Q931" s="23">
        <f>0.00017*N931</f>
        <v>0</v>
      </c>
      <c r="R931" s="24"/>
      <c r="S931" s="25" t="s">
        <v>3864</v>
      </c>
      <c r="T931" s="25" t="s">
        <v>94</v>
      </c>
      <c r="U931" s="5"/>
      <c r="V931" s="5"/>
      <c r="W931" s="5" t="s">
        <v>46</v>
      </c>
      <c r="X931" s="5"/>
      <c r="Y931" s="5"/>
      <c r="Z931" s="5" t="str">
        <f>HYPERLINK("https://knigipp.ru/api/getInfo/image/9ce12d8b-9828-11ee-a250-00155d82e908")</f>
        <v>https://knigipp.ru/api/getInfo/image/9ce12d8b-9828-11ee-a250-00155d82e908</v>
      </c>
      <c r="AA931" s="33">
        <v>32</v>
      </c>
      <c r="AB931" s="5"/>
      <c r="AC931" s="5" t="s">
        <v>96</v>
      </c>
      <c r="AD931" s="5"/>
      <c r="AE931" s="5" t="s">
        <v>49</v>
      </c>
      <c r="AF931" s="5"/>
      <c r="AG931" s="5" t="s">
        <v>3847</v>
      </c>
      <c r="AH931" s="5" t="s">
        <v>3848</v>
      </c>
    </row>
    <row r="932" spans="2:34" ht="21" customHeight="1" outlineLevel="3" x14ac:dyDescent="0.2">
      <c r="B932" s="4">
        <v>707</v>
      </c>
      <c r="C932" s="5" t="s">
        <v>3865</v>
      </c>
      <c r="D932" s="5" t="s">
        <v>3866</v>
      </c>
      <c r="E932" s="6" t="s">
        <v>3867</v>
      </c>
      <c r="F932" s="10"/>
      <c r="G932" s="11" t="s">
        <v>3845</v>
      </c>
      <c r="H932" s="12">
        <v>30</v>
      </c>
      <c r="I932" s="13" t="s">
        <v>41</v>
      </c>
      <c r="J932" s="13"/>
      <c r="K932" s="13"/>
      <c r="L932" s="4">
        <v>14</v>
      </c>
      <c r="M932" s="14">
        <f>49*(1-P3/100)</f>
        <v>49</v>
      </c>
      <c r="N932" s="15"/>
      <c r="O932" s="13">
        <f t="shared" si="26"/>
        <v>0</v>
      </c>
      <c r="P932" s="22">
        <f>0.067*N932</f>
        <v>0</v>
      </c>
      <c r="Q932" s="23">
        <f>0.00005*N932</f>
        <v>0</v>
      </c>
      <c r="R932" s="24"/>
      <c r="S932" s="25" t="s">
        <v>3868</v>
      </c>
      <c r="T932" s="25" t="s">
        <v>94</v>
      </c>
      <c r="U932" s="5"/>
      <c r="V932" s="5"/>
      <c r="W932" s="5" t="s">
        <v>46</v>
      </c>
      <c r="X932" s="5"/>
      <c r="Y932" s="5"/>
      <c r="Z932" s="5" t="str">
        <f>HYPERLINK("https://knigipp.ru/api/getInfo/image/a88ca758-cc8a-11e8-a20d-ac1f6b442184")</f>
        <v>https://knigipp.ru/api/getInfo/image/a88ca758-cc8a-11e8-a20d-ac1f6b442184</v>
      </c>
      <c r="AA932" s="33">
        <v>32</v>
      </c>
      <c r="AB932" s="5"/>
      <c r="AC932" s="5" t="s">
        <v>96</v>
      </c>
      <c r="AD932" s="5"/>
      <c r="AE932" s="5" t="s">
        <v>49</v>
      </c>
      <c r="AF932" s="5"/>
      <c r="AG932" s="5" t="s">
        <v>3847</v>
      </c>
      <c r="AH932" s="5" t="s">
        <v>3848</v>
      </c>
    </row>
    <row r="933" spans="2:34" ht="22.95" customHeight="1" outlineLevel="2" x14ac:dyDescent="0.2">
      <c r="B933" s="73" t="s">
        <v>3869</v>
      </c>
      <c r="C933" s="73"/>
      <c r="D933" s="73"/>
    </row>
    <row r="934" spans="2:34" ht="21" customHeight="1" outlineLevel="3" x14ac:dyDescent="0.2">
      <c r="B934" s="4">
        <v>708</v>
      </c>
      <c r="C934" s="5" t="s">
        <v>3870</v>
      </c>
      <c r="D934" s="5" t="s">
        <v>3871</v>
      </c>
      <c r="E934" s="6" t="s">
        <v>3872</v>
      </c>
      <c r="F934" s="10"/>
      <c r="G934" s="11" t="s">
        <v>3873</v>
      </c>
      <c r="H934" s="12">
        <v>50</v>
      </c>
      <c r="I934" s="13" t="s">
        <v>41</v>
      </c>
      <c r="J934" s="13"/>
      <c r="K934" s="13"/>
      <c r="L934" s="4">
        <v>15</v>
      </c>
      <c r="M934" s="14">
        <f>47.7*(1-P3/100)</f>
        <v>47.7</v>
      </c>
      <c r="N934" s="15"/>
      <c r="O934" s="13">
        <f>M934*N934</f>
        <v>0</v>
      </c>
      <c r="P934" s="13">
        <v>0</v>
      </c>
      <c r="Q934" s="13">
        <v>0</v>
      </c>
      <c r="R934" s="24"/>
      <c r="S934" s="25" t="s">
        <v>3874</v>
      </c>
      <c r="T934" s="25" t="s">
        <v>94</v>
      </c>
      <c r="U934" s="5"/>
      <c r="V934" s="5"/>
      <c r="W934" s="5" t="s">
        <v>46</v>
      </c>
      <c r="X934" s="5"/>
      <c r="Y934" s="5"/>
      <c r="Z934" s="5" t="str">
        <f>HYPERLINK("https://knigipp.ru/api/getInfo/image/87ce0724-9826-11ee-a250-00155d82e908")</f>
        <v>https://knigipp.ru/api/getInfo/image/87ce0724-9826-11ee-a250-00155d82e908</v>
      </c>
      <c r="AA934" s="33">
        <v>32</v>
      </c>
      <c r="AB934" s="5" t="s">
        <v>47</v>
      </c>
      <c r="AC934" s="5" t="s">
        <v>96</v>
      </c>
      <c r="AD934" s="5"/>
      <c r="AE934" s="5" t="s">
        <v>49</v>
      </c>
      <c r="AF934" s="5"/>
      <c r="AG934" s="5"/>
      <c r="AH934" s="5" t="s">
        <v>3875</v>
      </c>
    </row>
    <row r="935" spans="2:34" ht="21" customHeight="1" outlineLevel="3" x14ac:dyDescent="0.2">
      <c r="B935" s="4">
        <v>709</v>
      </c>
      <c r="C935" s="5" t="s">
        <v>3876</v>
      </c>
      <c r="D935" s="5" t="s">
        <v>3877</v>
      </c>
      <c r="E935" s="6" t="s">
        <v>3878</v>
      </c>
      <c r="F935" s="10"/>
      <c r="G935" s="11" t="s">
        <v>3873</v>
      </c>
      <c r="H935" s="12">
        <v>50</v>
      </c>
      <c r="I935" s="13" t="s">
        <v>371</v>
      </c>
      <c r="J935" s="13"/>
      <c r="K935" s="13"/>
      <c r="L935" s="4">
        <v>15</v>
      </c>
      <c r="M935" s="14">
        <f>47.7*(1-P3/100)</f>
        <v>47.7</v>
      </c>
      <c r="N935" s="15"/>
      <c r="O935" s="13">
        <f>M935*N935</f>
        <v>0</v>
      </c>
      <c r="P935" s="13">
        <v>0</v>
      </c>
      <c r="Q935" s="13">
        <v>0</v>
      </c>
      <c r="R935" s="24"/>
      <c r="S935" s="25" t="s">
        <v>3879</v>
      </c>
      <c r="T935" s="25" t="s">
        <v>94</v>
      </c>
      <c r="U935" s="5"/>
      <c r="V935" s="5"/>
      <c r="W935" s="5" t="s">
        <v>46</v>
      </c>
      <c r="X935" s="5"/>
      <c r="Y935" s="5"/>
      <c r="Z935" s="5" t="str">
        <f>HYPERLINK("https://knigipp.ru/api/getInfo/image/18a696c1-9826-11ee-a250-00155d82e908")</f>
        <v>https://knigipp.ru/api/getInfo/image/18a696c1-9826-11ee-a250-00155d82e908</v>
      </c>
      <c r="AA935" s="33">
        <v>32</v>
      </c>
      <c r="AB935" s="5" t="s">
        <v>47</v>
      </c>
      <c r="AC935" s="5" t="s">
        <v>96</v>
      </c>
      <c r="AD935" s="5"/>
      <c r="AE935" s="5" t="s">
        <v>49</v>
      </c>
      <c r="AF935" s="5"/>
      <c r="AG935" s="5"/>
      <c r="AH935" s="5" t="s">
        <v>3875</v>
      </c>
    </row>
    <row r="936" spans="2:34" ht="21" customHeight="1" outlineLevel="3" x14ac:dyDescent="0.2">
      <c r="B936" s="4">
        <v>710</v>
      </c>
      <c r="C936" s="5" t="s">
        <v>3880</v>
      </c>
      <c r="D936" s="5" t="s">
        <v>3881</v>
      </c>
      <c r="E936" s="6" t="s">
        <v>3882</v>
      </c>
      <c r="F936" s="10"/>
      <c r="G936" s="11" t="s">
        <v>3873</v>
      </c>
      <c r="H936" s="12">
        <v>50</v>
      </c>
      <c r="I936" s="13" t="s">
        <v>261</v>
      </c>
      <c r="J936" s="13"/>
      <c r="K936" s="13"/>
      <c r="L936" s="4">
        <v>15</v>
      </c>
      <c r="M936" s="14">
        <f>47.7*(1-P3/100)</f>
        <v>47.7</v>
      </c>
      <c r="N936" s="15"/>
      <c r="O936" s="13">
        <f>M936*N936</f>
        <v>0</v>
      </c>
      <c r="P936" s="13">
        <v>0</v>
      </c>
      <c r="Q936" s="13">
        <v>0</v>
      </c>
      <c r="R936" s="24"/>
      <c r="S936" s="25" t="s">
        <v>3883</v>
      </c>
      <c r="T936" s="25" t="s">
        <v>94</v>
      </c>
      <c r="U936" s="5"/>
      <c r="V936" s="5"/>
      <c r="W936" s="5" t="s">
        <v>46</v>
      </c>
      <c r="X936" s="5"/>
      <c r="Y936" s="5"/>
      <c r="Z936" s="5" t="str">
        <f>HYPERLINK("https://knigipp.ru/api/getInfo/image/b4e8b6a4-9826-11ee-a250-00155d82e908")</f>
        <v>https://knigipp.ru/api/getInfo/image/b4e8b6a4-9826-11ee-a250-00155d82e908</v>
      </c>
      <c r="AA936" s="33">
        <v>32</v>
      </c>
      <c r="AB936" s="5" t="s">
        <v>47</v>
      </c>
      <c r="AC936" s="5" t="s">
        <v>96</v>
      </c>
      <c r="AD936" s="5"/>
      <c r="AE936" s="5" t="s">
        <v>49</v>
      </c>
      <c r="AF936" s="5"/>
      <c r="AG936" s="5"/>
      <c r="AH936" s="5" t="s">
        <v>3875</v>
      </c>
    </row>
    <row r="937" spans="2:34" ht="21" customHeight="1" outlineLevel="3" x14ac:dyDescent="0.2">
      <c r="B937" s="4">
        <v>711</v>
      </c>
      <c r="C937" s="5" t="s">
        <v>3884</v>
      </c>
      <c r="D937" s="5" t="s">
        <v>3885</v>
      </c>
      <c r="E937" s="6" t="s">
        <v>3886</v>
      </c>
      <c r="F937" s="10"/>
      <c r="G937" s="11" t="s">
        <v>3873</v>
      </c>
      <c r="H937" s="12">
        <v>50</v>
      </c>
      <c r="I937" s="13" t="s">
        <v>41</v>
      </c>
      <c r="J937" s="13"/>
      <c r="K937" s="13"/>
      <c r="L937" s="4">
        <v>15</v>
      </c>
      <c r="M937" s="14">
        <f>47.7*(1-P3/100)</f>
        <v>47.7</v>
      </c>
      <c r="N937" s="15"/>
      <c r="O937" s="13">
        <f>M937*N937</f>
        <v>0</v>
      </c>
      <c r="P937" s="13">
        <v>0</v>
      </c>
      <c r="Q937" s="13">
        <v>0</v>
      </c>
      <c r="R937" s="24"/>
      <c r="S937" s="25" t="s">
        <v>3887</v>
      </c>
      <c r="T937" s="25" t="s">
        <v>94</v>
      </c>
      <c r="U937" s="5"/>
      <c r="V937" s="5"/>
      <c r="W937" s="5" t="s">
        <v>46</v>
      </c>
      <c r="X937" s="5"/>
      <c r="Y937" s="5"/>
      <c r="Z937" s="5" t="str">
        <f>HYPERLINK("https://knigipp.ru/api/getInfo/image/de72402d-9826-11ee-a250-00155d82e908")</f>
        <v>https://knigipp.ru/api/getInfo/image/de72402d-9826-11ee-a250-00155d82e908</v>
      </c>
      <c r="AA937" s="33">
        <v>32</v>
      </c>
      <c r="AB937" s="5" t="s">
        <v>47</v>
      </c>
      <c r="AC937" s="5" t="s">
        <v>96</v>
      </c>
      <c r="AD937" s="5"/>
      <c r="AE937" s="5" t="s">
        <v>49</v>
      </c>
      <c r="AF937" s="5"/>
      <c r="AG937" s="5"/>
      <c r="AH937" s="5" t="s">
        <v>3875</v>
      </c>
    </row>
    <row r="938" spans="2:34" ht="21" customHeight="1" outlineLevel="3" x14ac:dyDescent="0.2">
      <c r="B938" s="4">
        <v>712</v>
      </c>
      <c r="C938" s="5" t="s">
        <v>3888</v>
      </c>
      <c r="D938" s="5" t="s">
        <v>3889</v>
      </c>
      <c r="E938" s="6" t="s">
        <v>3890</v>
      </c>
      <c r="F938" s="10"/>
      <c r="G938" s="11" t="s">
        <v>3873</v>
      </c>
      <c r="H938" s="12">
        <v>50</v>
      </c>
      <c r="I938" s="13" t="s">
        <v>41</v>
      </c>
      <c r="J938" s="13"/>
      <c r="K938" s="13"/>
      <c r="L938" s="4">
        <v>15</v>
      </c>
      <c r="M938" s="14">
        <f>47.7*(1-P3/100)</f>
        <v>47.7</v>
      </c>
      <c r="N938" s="15"/>
      <c r="O938" s="13">
        <f>M938*N938</f>
        <v>0</v>
      </c>
      <c r="P938" s="22">
        <f>0.038*N938</f>
        <v>0</v>
      </c>
      <c r="Q938" s="23">
        <f>0.00022*N938</f>
        <v>0</v>
      </c>
      <c r="R938" s="24"/>
      <c r="S938" s="25" t="s">
        <v>3891</v>
      </c>
      <c r="T938" s="25" t="s">
        <v>94</v>
      </c>
      <c r="U938" s="5"/>
      <c r="V938" s="5"/>
      <c r="W938" s="5" t="s">
        <v>46</v>
      </c>
      <c r="X938" s="5"/>
      <c r="Y938" s="5"/>
      <c r="Z938" s="5" t="str">
        <f>HYPERLINK("https://knigipp.ru/api/getInfo/image/47d7dd57-98db-11e9-a227-ac1f6b442184")</f>
        <v>https://knigipp.ru/api/getInfo/image/47d7dd57-98db-11e9-a227-ac1f6b442184</v>
      </c>
      <c r="AA938" s="33">
        <v>32</v>
      </c>
      <c r="AB938" s="5"/>
      <c r="AC938" s="5" t="s">
        <v>96</v>
      </c>
      <c r="AD938" s="5"/>
      <c r="AE938" s="5" t="s">
        <v>49</v>
      </c>
      <c r="AF938" s="5"/>
      <c r="AG938" s="5"/>
      <c r="AH938" s="5" t="s">
        <v>3875</v>
      </c>
    </row>
    <row r="939" spans="2:34" ht="22.95" customHeight="1" outlineLevel="1" x14ac:dyDescent="0.2">
      <c r="B939" s="72" t="s">
        <v>3892</v>
      </c>
      <c r="C939" s="72"/>
      <c r="D939" s="72"/>
    </row>
    <row r="940" spans="2:34" ht="22.95" customHeight="1" outlineLevel="2" x14ac:dyDescent="0.2">
      <c r="B940" s="73" t="s">
        <v>3893</v>
      </c>
      <c r="C940" s="73"/>
      <c r="D940" s="73"/>
    </row>
    <row r="941" spans="2:34" ht="22.95" customHeight="1" outlineLevel="3" x14ac:dyDescent="0.2">
      <c r="B941" s="74" t="s">
        <v>3894</v>
      </c>
      <c r="C941" s="74"/>
      <c r="D941" s="74"/>
    </row>
    <row r="942" spans="2:34" ht="21" customHeight="1" outlineLevel="4" x14ac:dyDescent="0.2">
      <c r="B942" s="4">
        <v>713</v>
      </c>
      <c r="C942" s="5" t="s">
        <v>3895</v>
      </c>
      <c r="D942" s="5" t="s">
        <v>3896</v>
      </c>
      <c r="E942" s="6" t="s">
        <v>3897</v>
      </c>
      <c r="F942" s="10"/>
      <c r="G942" s="11" t="s">
        <v>3898</v>
      </c>
      <c r="H942" s="12">
        <v>50</v>
      </c>
      <c r="I942" s="13" t="s">
        <v>261</v>
      </c>
      <c r="J942" s="13"/>
      <c r="K942" s="13"/>
      <c r="L942" s="4">
        <v>15</v>
      </c>
      <c r="M942" s="14">
        <f>39*(1-P3/100)</f>
        <v>39</v>
      </c>
      <c r="N942" s="15"/>
      <c r="O942" s="13">
        <f>M942*N942</f>
        <v>0</v>
      </c>
      <c r="P942" s="22">
        <f>0.032*N942</f>
        <v>0</v>
      </c>
      <c r="Q942" s="23">
        <f>0.00006*N942</f>
        <v>0</v>
      </c>
      <c r="R942" s="24"/>
      <c r="S942" s="25" t="s">
        <v>3899</v>
      </c>
      <c r="T942" s="25" t="s">
        <v>43</v>
      </c>
      <c r="U942" s="5"/>
      <c r="V942" s="5"/>
      <c r="W942" s="5" t="s">
        <v>46</v>
      </c>
      <c r="X942" s="5" t="s">
        <v>3900</v>
      </c>
      <c r="Y942" s="5"/>
      <c r="Z942" s="5" t="str">
        <f>HYPERLINK("https://knigipp.ru/api/getInfo/image/35e16839-a523-11e4-bc0b-5cf3fc4a2490")</f>
        <v>https://knigipp.ru/api/getInfo/image/35e16839-a523-11e4-bc0b-5cf3fc4a2490</v>
      </c>
      <c r="AA942" s="33">
        <v>4</v>
      </c>
      <c r="AB942" s="5"/>
      <c r="AC942" s="5" t="s">
        <v>96</v>
      </c>
      <c r="AD942" s="5"/>
      <c r="AE942" s="5" t="s">
        <v>3901</v>
      </c>
      <c r="AF942" s="5"/>
      <c r="AG942" s="5" t="s">
        <v>3902</v>
      </c>
      <c r="AH942" s="5" t="s">
        <v>3903</v>
      </c>
    </row>
    <row r="943" spans="2:34" ht="21" customHeight="1" outlineLevel="4" x14ac:dyDescent="0.2">
      <c r="B943" s="4">
        <v>714</v>
      </c>
      <c r="C943" s="5" t="s">
        <v>3904</v>
      </c>
      <c r="D943" s="5" t="s">
        <v>3905</v>
      </c>
      <c r="E943" s="6" t="s">
        <v>3906</v>
      </c>
      <c r="F943" s="10"/>
      <c r="G943" s="11" t="s">
        <v>3898</v>
      </c>
      <c r="H943" s="12">
        <v>50</v>
      </c>
      <c r="I943" s="13" t="s">
        <v>261</v>
      </c>
      <c r="J943" s="13"/>
      <c r="K943" s="13"/>
      <c r="L943" s="4">
        <v>15</v>
      </c>
      <c r="M943" s="14">
        <f>39*(1-P3/100)</f>
        <v>39</v>
      </c>
      <c r="N943" s="15"/>
      <c r="O943" s="13">
        <f>M943*N943</f>
        <v>0</v>
      </c>
      <c r="P943" s="22">
        <f>0.029*N943</f>
        <v>0</v>
      </c>
      <c r="Q943" s="23">
        <f>0.00033*N943</f>
        <v>0</v>
      </c>
      <c r="R943" s="24"/>
      <c r="S943" s="25" t="s">
        <v>3907</v>
      </c>
      <c r="T943" s="25" t="s">
        <v>43</v>
      </c>
      <c r="U943" s="5"/>
      <c r="V943" s="5"/>
      <c r="W943" s="5" t="s">
        <v>46</v>
      </c>
      <c r="X943" s="5" t="s">
        <v>3900</v>
      </c>
      <c r="Y943" s="5"/>
      <c r="Z943" s="5" t="str">
        <f>HYPERLINK("https://knigipp.ru/api/getInfo/image/3c6b9da5-a524-11e4-bc0b-5cf3fc4a2490")</f>
        <v>https://knigipp.ru/api/getInfo/image/3c6b9da5-a524-11e4-bc0b-5cf3fc4a2490</v>
      </c>
      <c r="AA943" s="33">
        <v>4</v>
      </c>
      <c r="AB943" s="5"/>
      <c r="AC943" s="5" t="s">
        <v>96</v>
      </c>
      <c r="AD943" s="5"/>
      <c r="AE943" s="5" t="s">
        <v>3901</v>
      </c>
      <c r="AF943" s="5"/>
      <c r="AG943" s="5" t="s">
        <v>3902</v>
      </c>
      <c r="AH943" s="5" t="s">
        <v>3903</v>
      </c>
    </row>
    <row r="944" spans="2:34" ht="21" customHeight="1" outlineLevel="4" x14ac:dyDescent="0.2">
      <c r="B944" s="4">
        <v>715</v>
      </c>
      <c r="C944" s="5" t="s">
        <v>3908</v>
      </c>
      <c r="D944" s="5" t="s">
        <v>3909</v>
      </c>
      <c r="E944" s="6" t="s">
        <v>3910</v>
      </c>
      <c r="F944" s="10"/>
      <c r="G944" s="11" t="s">
        <v>3898</v>
      </c>
      <c r="H944" s="12">
        <v>50</v>
      </c>
      <c r="I944" s="13" t="s">
        <v>261</v>
      </c>
      <c r="J944" s="13"/>
      <c r="K944" s="13"/>
      <c r="L944" s="4">
        <v>15</v>
      </c>
      <c r="M944" s="14">
        <f>39*(1-P3/100)</f>
        <v>39</v>
      </c>
      <c r="N944" s="15"/>
      <c r="O944" s="13">
        <f>M944*N944</f>
        <v>0</v>
      </c>
      <c r="P944" s="22">
        <f>0.027*N944</f>
        <v>0</v>
      </c>
      <c r="Q944" s="23">
        <f>0.00022*N944</f>
        <v>0</v>
      </c>
      <c r="R944" s="24"/>
      <c r="S944" s="25" t="s">
        <v>3911</v>
      </c>
      <c r="T944" s="25" t="s">
        <v>43</v>
      </c>
      <c r="U944" s="5"/>
      <c r="V944" s="5"/>
      <c r="W944" s="5" t="s">
        <v>46</v>
      </c>
      <c r="X944" s="5" t="s">
        <v>3900</v>
      </c>
      <c r="Y944" s="5"/>
      <c r="Z944" s="5" t="str">
        <f>HYPERLINK("https://knigipp.ru/api/getInfo/image/7f35d526-a524-11e4-bc0b-5cf3fc4a2490")</f>
        <v>https://knigipp.ru/api/getInfo/image/7f35d526-a524-11e4-bc0b-5cf3fc4a2490</v>
      </c>
      <c r="AA944" s="33">
        <v>4</v>
      </c>
      <c r="AB944" s="5"/>
      <c r="AC944" s="5" t="s">
        <v>96</v>
      </c>
      <c r="AD944" s="5"/>
      <c r="AE944" s="5" t="s">
        <v>3901</v>
      </c>
      <c r="AF944" s="5"/>
      <c r="AG944" s="5" t="s">
        <v>3902</v>
      </c>
      <c r="AH944" s="5" t="s">
        <v>3903</v>
      </c>
    </row>
    <row r="945" spans="2:34" ht="22.95" customHeight="1" outlineLevel="3" x14ac:dyDescent="0.2">
      <c r="B945" s="74" t="s">
        <v>3912</v>
      </c>
      <c r="C945" s="74"/>
      <c r="D945" s="74"/>
    </row>
    <row r="946" spans="2:34" ht="21" customHeight="1" outlineLevel="4" x14ac:dyDescent="0.2">
      <c r="B946" s="7">
        <v>716</v>
      </c>
      <c r="C946" s="8" t="s">
        <v>3913</v>
      </c>
      <c r="D946" s="8" t="s">
        <v>3914</v>
      </c>
      <c r="E946" s="9" t="s">
        <v>3915</v>
      </c>
      <c r="F946" s="16"/>
      <c r="G946" s="17" t="s">
        <v>3916</v>
      </c>
      <c r="H946" s="18">
        <v>50</v>
      </c>
      <c r="I946" s="19" t="s">
        <v>41</v>
      </c>
      <c r="J946" s="19"/>
      <c r="K946" s="19"/>
      <c r="L946" s="7">
        <v>1</v>
      </c>
      <c r="M946" s="21">
        <f>137*(1-P3/100)</f>
        <v>137</v>
      </c>
      <c r="N946" s="15"/>
      <c r="O946" s="19">
        <f>M946*N946</f>
        <v>0</v>
      </c>
      <c r="P946" s="26">
        <f>0.102*N946</f>
        <v>0</v>
      </c>
      <c r="Q946" s="27">
        <f>0.00034*N946</f>
        <v>0</v>
      </c>
      <c r="R946" s="28" t="s">
        <v>81</v>
      </c>
      <c r="S946" s="29" t="s">
        <v>3917</v>
      </c>
      <c r="T946" s="29" t="s">
        <v>43</v>
      </c>
      <c r="U946" s="8"/>
      <c r="V946" s="8" t="s">
        <v>3918</v>
      </c>
      <c r="W946" s="8" t="s">
        <v>2731</v>
      </c>
      <c r="X946" s="8"/>
      <c r="Y946" s="8"/>
      <c r="Z946" s="8" t="str">
        <f>HYPERLINK("https://knigipp.ru/api/getInfo/image/fa4d3a3c-cc59-11f0-a28a-00155d82e908")</f>
        <v>https://knigipp.ru/api/getInfo/image/fa4d3a3c-cc59-11f0-a28a-00155d82e908</v>
      </c>
      <c r="AA946" s="34">
        <v>32</v>
      </c>
      <c r="AB946" s="8" t="s">
        <v>47</v>
      </c>
      <c r="AC946" s="8" t="s">
        <v>96</v>
      </c>
      <c r="AD946" s="8"/>
      <c r="AE946" s="8"/>
      <c r="AF946" s="8"/>
      <c r="AG946" s="8"/>
      <c r="AH946" s="8" t="s">
        <v>534</v>
      </c>
    </row>
    <row r="947" spans="2:34" ht="21" customHeight="1" outlineLevel="4" x14ac:dyDescent="0.2">
      <c r="B947" s="7">
        <v>717</v>
      </c>
      <c r="C947" s="8" t="s">
        <v>3919</v>
      </c>
      <c r="D947" s="8" t="s">
        <v>3920</v>
      </c>
      <c r="E947" s="9" t="s">
        <v>3921</v>
      </c>
      <c r="F947" s="16"/>
      <c r="G947" s="17" t="s">
        <v>3916</v>
      </c>
      <c r="H947" s="18">
        <v>50</v>
      </c>
      <c r="I947" s="19" t="s">
        <v>41</v>
      </c>
      <c r="J947" s="19"/>
      <c r="K947" s="19"/>
      <c r="L947" s="7">
        <v>1</v>
      </c>
      <c r="M947" s="21">
        <f>137*(1-P3/100)</f>
        <v>137</v>
      </c>
      <c r="N947" s="15"/>
      <c r="O947" s="19">
        <f>M947*N947</f>
        <v>0</v>
      </c>
      <c r="P947" s="26">
        <f>0.106*N947</f>
        <v>0</v>
      </c>
      <c r="Q947" s="31">
        <f>0.0004*N947</f>
        <v>0</v>
      </c>
      <c r="R947" s="28" t="s">
        <v>81</v>
      </c>
      <c r="S947" s="29" t="s">
        <v>3922</v>
      </c>
      <c r="T947" s="29" t="s">
        <v>43</v>
      </c>
      <c r="U947" s="8"/>
      <c r="V947" s="8" t="s">
        <v>3923</v>
      </c>
      <c r="W947" s="8" t="s">
        <v>2731</v>
      </c>
      <c r="X947" s="8"/>
      <c r="Y947" s="8"/>
      <c r="Z947" s="8" t="str">
        <f>HYPERLINK("https://knigipp.ru/api/getInfo/image/2defd946-cc5a-11f0-a28a-00155d82e908")</f>
        <v>https://knigipp.ru/api/getInfo/image/2defd946-cc5a-11f0-a28a-00155d82e908</v>
      </c>
      <c r="AA947" s="34">
        <v>32</v>
      </c>
      <c r="AB947" s="8" t="s">
        <v>47</v>
      </c>
      <c r="AC947" s="8" t="s">
        <v>96</v>
      </c>
      <c r="AD947" s="8"/>
      <c r="AE947" s="8"/>
      <c r="AF947" s="8"/>
      <c r="AG947" s="8"/>
      <c r="AH947" s="8" t="s">
        <v>534</v>
      </c>
    </row>
    <row r="948" spans="2:34" ht="22.95" customHeight="1" outlineLevel="3" x14ac:dyDescent="0.2">
      <c r="B948" s="74" t="s">
        <v>3924</v>
      </c>
      <c r="C948" s="74"/>
      <c r="D948" s="74"/>
    </row>
    <row r="949" spans="2:34" ht="21" customHeight="1" outlineLevel="4" x14ac:dyDescent="0.2">
      <c r="B949" s="4">
        <v>718</v>
      </c>
      <c r="C949" s="5" t="s">
        <v>3925</v>
      </c>
      <c r="D949" s="5" t="s">
        <v>3926</v>
      </c>
      <c r="E949" s="6" t="s">
        <v>3927</v>
      </c>
      <c r="F949" s="10"/>
      <c r="G949" s="11" t="s">
        <v>3928</v>
      </c>
      <c r="H949" s="12">
        <v>30</v>
      </c>
      <c r="I949" s="13" t="s">
        <v>41</v>
      </c>
      <c r="J949" s="13"/>
      <c r="K949" s="13"/>
      <c r="L949" s="4">
        <v>7</v>
      </c>
      <c r="M949" s="14">
        <f>97*(1-P3/100)</f>
        <v>97</v>
      </c>
      <c r="N949" s="15"/>
      <c r="O949" s="13">
        <f>M949*N949</f>
        <v>0</v>
      </c>
      <c r="P949" s="22">
        <f>0.064*N949</f>
        <v>0</v>
      </c>
      <c r="Q949" s="23">
        <f>0.00029*N949</f>
        <v>0</v>
      </c>
      <c r="R949" s="24"/>
      <c r="S949" s="25" t="s">
        <v>3929</v>
      </c>
      <c r="T949" s="25" t="s">
        <v>43</v>
      </c>
      <c r="U949" s="5"/>
      <c r="V949" s="5"/>
      <c r="W949" s="5" t="s">
        <v>46</v>
      </c>
      <c r="X949" s="5"/>
      <c r="Y949" s="5"/>
      <c r="Z949" s="5" t="str">
        <f>HYPERLINK("https://knigipp.ru/api/getInfo/image/15595516-c4fa-11ef-a268-00155d82e908")</f>
        <v>https://knigipp.ru/api/getInfo/image/15595516-c4fa-11ef-a268-00155d82e908</v>
      </c>
      <c r="AA949" s="33">
        <v>24</v>
      </c>
      <c r="AB949" s="5" t="s">
        <v>47</v>
      </c>
      <c r="AC949" s="5" t="s">
        <v>96</v>
      </c>
      <c r="AD949" s="5"/>
      <c r="AE949" s="5" t="s">
        <v>3901</v>
      </c>
      <c r="AF949" s="5"/>
      <c r="AG949" s="5"/>
      <c r="AH949" s="5" t="s">
        <v>3930</v>
      </c>
    </row>
    <row r="950" spans="2:34" ht="22.95" customHeight="1" outlineLevel="3" x14ac:dyDescent="0.2">
      <c r="B950" s="74" t="s">
        <v>3931</v>
      </c>
      <c r="C950" s="74"/>
      <c r="D950" s="74"/>
    </row>
    <row r="951" spans="2:34" ht="21" customHeight="1" outlineLevel="4" x14ac:dyDescent="0.2">
      <c r="B951" s="4">
        <v>719</v>
      </c>
      <c r="C951" s="5" t="s">
        <v>3932</v>
      </c>
      <c r="D951" s="5" t="s">
        <v>3933</v>
      </c>
      <c r="E951" s="6" t="s">
        <v>3934</v>
      </c>
      <c r="F951" s="10"/>
      <c r="G951" s="11" t="s">
        <v>3935</v>
      </c>
      <c r="H951" s="12">
        <v>50</v>
      </c>
      <c r="I951" s="13" t="s">
        <v>41</v>
      </c>
      <c r="J951" s="13"/>
      <c r="K951" s="13"/>
      <c r="L951" s="4">
        <v>5</v>
      </c>
      <c r="M951" s="14">
        <f>127*(1-P3/100)</f>
        <v>127</v>
      </c>
      <c r="N951" s="15"/>
      <c r="O951" s="13">
        <f>M951*N951</f>
        <v>0</v>
      </c>
      <c r="P951" s="22">
        <f>0.065*N951</f>
        <v>0</v>
      </c>
      <c r="Q951" s="23">
        <f>0.00024*N951</f>
        <v>0</v>
      </c>
      <c r="R951" s="24"/>
      <c r="S951" s="25" t="s">
        <v>3936</v>
      </c>
      <c r="T951" s="25" t="s">
        <v>43</v>
      </c>
      <c r="U951" s="5"/>
      <c r="V951" s="5"/>
      <c r="W951" s="5" t="s">
        <v>46</v>
      </c>
      <c r="X951" s="5"/>
      <c r="Y951" s="5"/>
      <c r="Z951" s="5" t="str">
        <f>HYPERLINK("https://knigipp.ru/api/getInfo/image/6c57cc78-bad7-11ea-a249-ac1f6b442184")</f>
        <v>https://knigipp.ru/api/getInfo/image/6c57cc78-bad7-11ea-a249-ac1f6b442184</v>
      </c>
      <c r="AA951" s="33">
        <v>24</v>
      </c>
      <c r="AB951" s="5"/>
      <c r="AC951" s="5" t="s">
        <v>96</v>
      </c>
      <c r="AD951" s="5"/>
      <c r="AE951" s="5" t="s">
        <v>3901</v>
      </c>
      <c r="AF951" s="5"/>
      <c r="AG951" s="5"/>
      <c r="AH951" s="5" t="s">
        <v>3937</v>
      </c>
    </row>
    <row r="952" spans="2:34" ht="21" customHeight="1" outlineLevel="4" x14ac:dyDescent="0.2">
      <c r="B952" s="4">
        <v>720</v>
      </c>
      <c r="C952" s="5" t="s">
        <v>3938</v>
      </c>
      <c r="D952" s="5" t="s">
        <v>3939</v>
      </c>
      <c r="E952" s="6" t="s">
        <v>3940</v>
      </c>
      <c r="F952" s="10"/>
      <c r="G952" s="11" t="s">
        <v>3935</v>
      </c>
      <c r="H952" s="12">
        <v>50</v>
      </c>
      <c r="I952" s="13" t="s">
        <v>41</v>
      </c>
      <c r="J952" s="13"/>
      <c r="K952" s="13"/>
      <c r="L952" s="4">
        <v>5</v>
      </c>
      <c r="M952" s="14">
        <f>127*(1-P3/100)</f>
        <v>127</v>
      </c>
      <c r="N952" s="15"/>
      <c r="O952" s="13">
        <f>M952*N952</f>
        <v>0</v>
      </c>
      <c r="P952" s="22">
        <f>0.066*N952</f>
        <v>0</v>
      </c>
      <c r="Q952" s="23">
        <f>0.00103*N952</f>
        <v>0</v>
      </c>
      <c r="R952" s="24"/>
      <c r="S952" s="25" t="s">
        <v>3941</v>
      </c>
      <c r="T952" s="25" t="s">
        <v>43</v>
      </c>
      <c r="U952" s="5"/>
      <c r="V952" s="5"/>
      <c r="W952" s="5" t="s">
        <v>46</v>
      </c>
      <c r="X952" s="5"/>
      <c r="Y952" s="5"/>
      <c r="Z952" s="5" t="str">
        <f>HYPERLINK("https://knigipp.ru/api/getInfo/image/93a03332-bad7-11ea-a249-ac1f6b442184")</f>
        <v>https://knigipp.ru/api/getInfo/image/93a03332-bad7-11ea-a249-ac1f6b442184</v>
      </c>
      <c r="AA952" s="33">
        <v>24</v>
      </c>
      <c r="AB952" s="5"/>
      <c r="AC952" s="5" t="s">
        <v>96</v>
      </c>
      <c r="AD952" s="5"/>
      <c r="AE952" s="5" t="s">
        <v>3901</v>
      </c>
      <c r="AF952" s="5"/>
      <c r="AG952" s="5"/>
      <c r="AH952" s="5" t="s">
        <v>3937</v>
      </c>
    </row>
    <row r="953" spans="2:34" ht="22.95" customHeight="1" outlineLevel="3" x14ac:dyDescent="0.2">
      <c r="B953" s="74" t="s">
        <v>3942</v>
      </c>
      <c r="C953" s="74"/>
      <c r="D953" s="74"/>
    </row>
    <row r="954" spans="2:34" ht="21" customHeight="1" outlineLevel="4" x14ac:dyDescent="0.2">
      <c r="B954" s="4">
        <v>721</v>
      </c>
      <c r="C954" s="5" t="s">
        <v>3943</v>
      </c>
      <c r="D954" s="5" t="s">
        <v>3944</v>
      </c>
      <c r="E954" s="6" t="s">
        <v>3945</v>
      </c>
      <c r="F954" s="10"/>
      <c r="G954" s="11" t="s">
        <v>3946</v>
      </c>
      <c r="H954" s="12">
        <v>50</v>
      </c>
      <c r="I954" s="13" t="s">
        <v>41</v>
      </c>
      <c r="J954" s="13"/>
      <c r="K954" s="13"/>
      <c r="L954" s="4">
        <v>8</v>
      </c>
      <c r="M954" s="14">
        <f>97*(1-P3/100)</f>
        <v>97</v>
      </c>
      <c r="N954" s="15"/>
      <c r="O954" s="13">
        <f>M954*N954</f>
        <v>0</v>
      </c>
      <c r="P954" s="22">
        <f>0.064*N954</f>
        <v>0</v>
      </c>
      <c r="Q954" s="23">
        <f>0.00022*N954</f>
        <v>0</v>
      </c>
      <c r="R954" s="24"/>
      <c r="S954" s="25" t="s">
        <v>3947</v>
      </c>
      <c r="T954" s="25" t="s">
        <v>43</v>
      </c>
      <c r="U954" s="5"/>
      <c r="V954" s="5"/>
      <c r="W954" s="5" t="s">
        <v>46</v>
      </c>
      <c r="X954" s="5"/>
      <c r="Y954" s="5"/>
      <c r="Z954" s="5" t="str">
        <f>HYPERLINK("https://knigipp.ru/api/getInfo/image/3e6f7b1a-3be9-11ec-a20f-ac1f6b442185")</f>
        <v>https://knigipp.ru/api/getInfo/image/3e6f7b1a-3be9-11ec-a20f-ac1f6b442185</v>
      </c>
      <c r="AA954" s="33">
        <v>16</v>
      </c>
      <c r="AB954" s="5"/>
      <c r="AC954" s="5" t="s">
        <v>96</v>
      </c>
      <c r="AD954" s="5"/>
      <c r="AE954" s="5" t="s">
        <v>3901</v>
      </c>
      <c r="AF954" s="5"/>
      <c r="AG954" s="5"/>
      <c r="AH954" s="5" t="s">
        <v>238</v>
      </c>
    </row>
    <row r="955" spans="2:34" ht="21" customHeight="1" outlineLevel="4" x14ac:dyDescent="0.2">
      <c r="B955" s="4">
        <v>722</v>
      </c>
      <c r="C955" s="5" t="s">
        <v>3948</v>
      </c>
      <c r="D955" s="5" t="s">
        <v>3949</v>
      </c>
      <c r="E955" s="6" t="s">
        <v>3950</v>
      </c>
      <c r="F955" s="10"/>
      <c r="G955" s="11" t="s">
        <v>3946</v>
      </c>
      <c r="H955" s="12">
        <v>50</v>
      </c>
      <c r="I955" s="13" t="s">
        <v>41</v>
      </c>
      <c r="J955" s="13"/>
      <c r="K955" s="13"/>
      <c r="L955" s="4">
        <v>8</v>
      </c>
      <c r="M955" s="14">
        <f>97*(1-P3/100)</f>
        <v>97</v>
      </c>
      <c r="N955" s="15"/>
      <c r="O955" s="13">
        <f>M955*N955</f>
        <v>0</v>
      </c>
      <c r="P955" s="22">
        <f>0.064*N955</f>
        <v>0</v>
      </c>
      <c r="Q955" s="23">
        <f>0.00022*N955</f>
        <v>0</v>
      </c>
      <c r="R955" s="24"/>
      <c r="S955" s="25" t="s">
        <v>3951</v>
      </c>
      <c r="T955" s="25" t="s">
        <v>43</v>
      </c>
      <c r="U955" s="5"/>
      <c r="V955" s="5"/>
      <c r="W955" s="5" t="s">
        <v>46</v>
      </c>
      <c r="X955" s="5"/>
      <c r="Y955" s="5"/>
      <c r="Z955" s="5" t="str">
        <f>HYPERLINK("https://knigipp.ru/api/getInfo/image/f13f1c36-3be8-11ec-a20f-ac1f6b442185")</f>
        <v>https://knigipp.ru/api/getInfo/image/f13f1c36-3be8-11ec-a20f-ac1f6b442185</v>
      </c>
      <c r="AA955" s="33">
        <v>16</v>
      </c>
      <c r="AB955" s="5"/>
      <c r="AC955" s="5" t="s">
        <v>96</v>
      </c>
      <c r="AD955" s="5"/>
      <c r="AE955" s="5" t="s">
        <v>3901</v>
      </c>
      <c r="AF955" s="5"/>
      <c r="AG955" s="5"/>
      <c r="AH955" s="5" t="s">
        <v>238</v>
      </c>
    </row>
    <row r="956" spans="2:34" ht="21" customHeight="1" outlineLevel="4" x14ac:dyDescent="0.2">
      <c r="B956" s="4">
        <v>723</v>
      </c>
      <c r="C956" s="5" t="s">
        <v>3952</v>
      </c>
      <c r="D956" s="5" t="s">
        <v>3953</v>
      </c>
      <c r="E956" s="6" t="s">
        <v>3954</v>
      </c>
      <c r="F956" s="10"/>
      <c r="G956" s="11" t="s">
        <v>3946</v>
      </c>
      <c r="H956" s="12">
        <v>50</v>
      </c>
      <c r="I956" s="13" t="s">
        <v>41</v>
      </c>
      <c r="J956" s="13"/>
      <c r="K956" s="13"/>
      <c r="L956" s="4">
        <v>8</v>
      </c>
      <c r="M956" s="14">
        <f>97*(1-P3/100)</f>
        <v>97</v>
      </c>
      <c r="N956" s="15"/>
      <c r="O956" s="13">
        <f>M956*N956</f>
        <v>0</v>
      </c>
      <c r="P956" s="22">
        <f>0.064*N956</f>
        <v>0</v>
      </c>
      <c r="Q956" s="23">
        <f>0.00028*N956</f>
        <v>0</v>
      </c>
      <c r="R956" s="24"/>
      <c r="S956" s="25" t="s">
        <v>3955</v>
      </c>
      <c r="T956" s="25" t="s">
        <v>43</v>
      </c>
      <c r="U956" s="5"/>
      <c r="V956" s="5"/>
      <c r="W956" s="5" t="s">
        <v>46</v>
      </c>
      <c r="X956" s="5"/>
      <c r="Y956" s="5"/>
      <c r="Z956" s="5" t="str">
        <f>HYPERLINK("https://knigipp.ru/api/getInfo/image/c309f5b1-3be9-11ec-a20f-ac1f6b442185")</f>
        <v>https://knigipp.ru/api/getInfo/image/c309f5b1-3be9-11ec-a20f-ac1f6b442185</v>
      </c>
      <c r="AA956" s="33">
        <v>16</v>
      </c>
      <c r="AB956" s="5"/>
      <c r="AC956" s="5" t="s">
        <v>96</v>
      </c>
      <c r="AD956" s="5"/>
      <c r="AE956" s="5" t="s">
        <v>3901</v>
      </c>
      <c r="AF956" s="5"/>
      <c r="AG956" s="5"/>
      <c r="AH956" s="5" t="s">
        <v>238</v>
      </c>
    </row>
    <row r="957" spans="2:34" ht="21" customHeight="1" outlineLevel="4" x14ac:dyDescent="0.2">
      <c r="B957" s="4">
        <v>724</v>
      </c>
      <c r="C957" s="5" t="s">
        <v>3956</v>
      </c>
      <c r="D957" s="5" t="s">
        <v>3957</v>
      </c>
      <c r="E957" s="6" t="s">
        <v>3958</v>
      </c>
      <c r="F957" s="10"/>
      <c r="G957" s="11" t="s">
        <v>3946</v>
      </c>
      <c r="H957" s="12">
        <v>50</v>
      </c>
      <c r="I957" s="13" t="s">
        <v>41</v>
      </c>
      <c r="J957" s="13"/>
      <c r="K957" s="13"/>
      <c r="L957" s="4">
        <v>8</v>
      </c>
      <c r="M957" s="14">
        <f>97*(1-P3/100)</f>
        <v>97</v>
      </c>
      <c r="N957" s="15"/>
      <c r="O957" s="13">
        <f>M957*N957</f>
        <v>0</v>
      </c>
      <c r="P957" s="22">
        <f>0.064*N957</f>
        <v>0</v>
      </c>
      <c r="Q957" s="23">
        <f>0.00022*N957</f>
        <v>0</v>
      </c>
      <c r="R957" s="24"/>
      <c r="S957" s="25" t="s">
        <v>3959</v>
      </c>
      <c r="T957" s="25" t="s">
        <v>43</v>
      </c>
      <c r="U957" s="5"/>
      <c r="V957" s="5"/>
      <c r="W957" s="5" t="s">
        <v>46</v>
      </c>
      <c r="X957" s="5"/>
      <c r="Y957" s="5"/>
      <c r="Z957" s="5" t="str">
        <f>HYPERLINK("https://knigipp.ru/api/getInfo/image/6dbf5499-3be9-11ec-a20f-ac1f6b442185")</f>
        <v>https://knigipp.ru/api/getInfo/image/6dbf5499-3be9-11ec-a20f-ac1f6b442185</v>
      </c>
      <c r="AA957" s="33">
        <v>16</v>
      </c>
      <c r="AB957" s="5"/>
      <c r="AC957" s="5" t="s">
        <v>96</v>
      </c>
      <c r="AD957" s="5"/>
      <c r="AE957" s="5" t="s">
        <v>3901</v>
      </c>
      <c r="AF957" s="5"/>
      <c r="AG957" s="5"/>
      <c r="AH957" s="5" t="s">
        <v>238</v>
      </c>
    </row>
    <row r="958" spans="2:34" ht="22.95" customHeight="1" outlineLevel="3" x14ac:dyDescent="0.2">
      <c r="B958" s="74" t="s">
        <v>3960</v>
      </c>
      <c r="C958" s="74"/>
      <c r="D958" s="74"/>
    </row>
    <row r="959" spans="2:34" ht="21" customHeight="1" outlineLevel="4" x14ac:dyDescent="0.2">
      <c r="B959" s="4">
        <v>725</v>
      </c>
      <c r="C959" s="5" t="s">
        <v>3961</v>
      </c>
      <c r="D959" s="5" t="s">
        <v>3962</v>
      </c>
      <c r="E959" s="6" t="s">
        <v>3963</v>
      </c>
      <c r="F959" s="10"/>
      <c r="G959" s="11" t="s">
        <v>3964</v>
      </c>
      <c r="H959" s="12">
        <v>20</v>
      </c>
      <c r="I959" s="13" t="s">
        <v>41</v>
      </c>
      <c r="J959" s="13"/>
      <c r="K959" s="13"/>
      <c r="L959" s="4">
        <v>2</v>
      </c>
      <c r="M959" s="14">
        <f>297*(1-P3/100)</f>
        <v>297</v>
      </c>
      <c r="N959" s="15"/>
      <c r="O959" s="13">
        <f>M959*N959</f>
        <v>0</v>
      </c>
      <c r="P959" s="36">
        <f>0.1*N959</f>
        <v>0</v>
      </c>
      <c r="Q959" s="23">
        <f>0.00082*N959</f>
        <v>0</v>
      </c>
      <c r="R959" s="24"/>
      <c r="S959" s="25" t="s">
        <v>3965</v>
      </c>
      <c r="T959" s="25" t="s">
        <v>43</v>
      </c>
      <c r="U959" s="5"/>
      <c r="V959" s="5" t="s">
        <v>3966</v>
      </c>
      <c r="W959" s="5" t="s">
        <v>46</v>
      </c>
      <c r="X959" s="5"/>
      <c r="Y959" s="5"/>
      <c r="Z959" s="5" t="str">
        <f>HYPERLINK("https://knigipp.ru/api/getInfo/image/c04455aa-7fc4-11ef-a265-00155d82e908")</f>
        <v>https://knigipp.ru/api/getInfo/image/c04455aa-7fc4-11ef-a265-00155d82e908</v>
      </c>
      <c r="AA959" s="33">
        <v>24</v>
      </c>
      <c r="AB959" s="5"/>
      <c r="AC959" s="5" t="s">
        <v>96</v>
      </c>
      <c r="AD959" s="5"/>
      <c r="AE959" s="5" t="s">
        <v>3901</v>
      </c>
      <c r="AF959" s="5"/>
      <c r="AG959" s="5"/>
      <c r="AH959" s="5" t="s">
        <v>3967</v>
      </c>
    </row>
    <row r="960" spans="2:34" ht="21" customHeight="1" outlineLevel="4" x14ac:dyDescent="0.2">
      <c r="B960" s="4">
        <v>726</v>
      </c>
      <c r="C960" s="5" t="s">
        <v>3968</v>
      </c>
      <c r="D960" s="5" t="s">
        <v>3969</v>
      </c>
      <c r="E960" s="6" t="s">
        <v>3970</v>
      </c>
      <c r="F960" s="10"/>
      <c r="G960" s="11" t="s">
        <v>3964</v>
      </c>
      <c r="H960" s="12">
        <v>20</v>
      </c>
      <c r="I960" s="13" t="s">
        <v>41</v>
      </c>
      <c r="J960" s="13"/>
      <c r="K960" s="13"/>
      <c r="L960" s="4">
        <v>2</v>
      </c>
      <c r="M960" s="14">
        <f>297*(1-P3/100)</f>
        <v>297</v>
      </c>
      <c r="N960" s="15"/>
      <c r="O960" s="13">
        <f>M960*N960</f>
        <v>0</v>
      </c>
      <c r="P960" s="22">
        <f>0.101*N960</f>
        <v>0</v>
      </c>
      <c r="Q960" s="23">
        <f>0.00111*N960</f>
        <v>0</v>
      </c>
      <c r="R960" s="24"/>
      <c r="S960" s="25" t="s">
        <v>3971</v>
      </c>
      <c r="T960" s="25" t="s">
        <v>43</v>
      </c>
      <c r="U960" s="5"/>
      <c r="V960" s="5" t="s">
        <v>3966</v>
      </c>
      <c r="W960" s="5" t="s">
        <v>46</v>
      </c>
      <c r="X960" s="5"/>
      <c r="Y960" s="5"/>
      <c r="Z960" s="5" t="str">
        <f>HYPERLINK("https://knigipp.ru/api/getInfo/image/8e51cb16-7fc4-11ef-a265-00155d82e908")</f>
        <v>https://knigipp.ru/api/getInfo/image/8e51cb16-7fc4-11ef-a265-00155d82e908</v>
      </c>
      <c r="AA960" s="33">
        <v>24</v>
      </c>
      <c r="AB960" s="5"/>
      <c r="AC960" s="5" t="s">
        <v>96</v>
      </c>
      <c r="AD960" s="5"/>
      <c r="AE960" s="5" t="s">
        <v>3901</v>
      </c>
      <c r="AF960" s="5"/>
      <c r="AG960" s="5"/>
      <c r="AH960" s="5" t="s">
        <v>3967</v>
      </c>
    </row>
    <row r="961" spans="2:34" ht="21" customHeight="1" outlineLevel="4" x14ac:dyDescent="0.2">
      <c r="B961" s="4">
        <v>727</v>
      </c>
      <c r="C961" s="5" t="s">
        <v>3972</v>
      </c>
      <c r="D961" s="5" t="s">
        <v>3973</v>
      </c>
      <c r="E961" s="6" t="s">
        <v>3974</v>
      </c>
      <c r="F961" s="10"/>
      <c r="G961" s="11" t="s">
        <v>3964</v>
      </c>
      <c r="H961" s="12">
        <v>20</v>
      </c>
      <c r="I961" s="13" t="s">
        <v>41</v>
      </c>
      <c r="J961" s="13"/>
      <c r="K961" s="13"/>
      <c r="L961" s="4">
        <v>2</v>
      </c>
      <c r="M961" s="14">
        <f>297*(1-P3/100)</f>
        <v>297</v>
      </c>
      <c r="N961" s="15"/>
      <c r="O961" s="13">
        <f>M961*N961</f>
        <v>0</v>
      </c>
      <c r="P961" s="22">
        <f>0.097*N961</f>
        <v>0</v>
      </c>
      <c r="Q961" s="23">
        <f>0.00118*N961</f>
        <v>0</v>
      </c>
      <c r="R961" s="24"/>
      <c r="S961" s="25" t="s">
        <v>3975</v>
      </c>
      <c r="T961" s="25" t="s">
        <v>43</v>
      </c>
      <c r="U961" s="5"/>
      <c r="V961" s="5" t="s">
        <v>3966</v>
      </c>
      <c r="W961" s="5" t="s">
        <v>46</v>
      </c>
      <c r="X961" s="5"/>
      <c r="Y961" s="5"/>
      <c r="Z961" s="5" t="str">
        <f>HYPERLINK("https://knigipp.ru/api/getInfo/image/f9bc5a01-7fc4-11ef-a265-00155d82e908")</f>
        <v>https://knigipp.ru/api/getInfo/image/f9bc5a01-7fc4-11ef-a265-00155d82e908</v>
      </c>
      <c r="AA961" s="33">
        <v>24</v>
      </c>
      <c r="AB961" s="5"/>
      <c r="AC961" s="5" t="s">
        <v>96</v>
      </c>
      <c r="AD961" s="5"/>
      <c r="AE961" s="5" t="s">
        <v>3901</v>
      </c>
      <c r="AF961" s="5"/>
      <c r="AG961" s="5"/>
      <c r="AH961" s="5" t="s">
        <v>3967</v>
      </c>
    </row>
    <row r="962" spans="2:34" ht="21" customHeight="1" outlineLevel="4" x14ac:dyDescent="0.2">
      <c r="B962" s="4">
        <v>728</v>
      </c>
      <c r="C962" s="5" t="s">
        <v>3976</v>
      </c>
      <c r="D962" s="5" t="s">
        <v>3977</v>
      </c>
      <c r="E962" s="6" t="s">
        <v>3978</v>
      </c>
      <c r="F962" s="10"/>
      <c r="G962" s="11" t="s">
        <v>3964</v>
      </c>
      <c r="H962" s="12">
        <v>20</v>
      </c>
      <c r="I962" s="13" t="s">
        <v>41</v>
      </c>
      <c r="J962" s="13"/>
      <c r="K962" s="13"/>
      <c r="L962" s="4">
        <v>2</v>
      </c>
      <c r="M962" s="14">
        <f>297*(1-P3/100)</f>
        <v>297</v>
      </c>
      <c r="N962" s="15"/>
      <c r="O962" s="13">
        <f>M962*N962</f>
        <v>0</v>
      </c>
      <c r="P962" s="22">
        <f>0.101*N962</f>
        <v>0</v>
      </c>
      <c r="Q962" s="23">
        <f>0.00118*N962</f>
        <v>0</v>
      </c>
      <c r="R962" s="24"/>
      <c r="S962" s="25" t="s">
        <v>3979</v>
      </c>
      <c r="T962" s="25" t="s">
        <v>43</v>
      </c>
      <c r="U962" s="5"/>
      <c r="V962" s="5" t="s">
        <v>3966</v>
      </c>
      <c r="W962" s="5" t="s">
        <v>46</v>
      </c>
      <c r="X962" s="5"/>
      <c r="Y962" s="5"/>
      <c r="Z962" s="5" t="str">
        <f>HYPERLINK("https://knigipp.ru/api/getInfo/image/20b0f429-7fc5-11ef-a265-00155d82e908")</f>
        <v>https://knigipp.ru/api/getInfo/image/20b0f429-7fc5-11ef-a265-00155d82e908</v>
      </c>
      <c r="AA962" s="33">
        <v>24</v>
      </c>
      <c r="AB962" s="5"/>
      <c r="AC962" s="5" t="s">
        <v>96</v>
      </c>
      <c r="AD962" s="5"/>
      <c r="AE962" s="5" t="s">
        <v>3901</v>
      </c>
      <c r="AF962" s="5"/>
      <c r="AG962" s="5"/>
      <c r="AH962" s="5" t="s">
        <v>3967</v>
      </c>
    </row>
    <row r="963" spans="2:34" ht="22.95" customHeight="1" outlineLevel="3" x14ac:dyDescent="0.2">
      <c r="B963" s="74" t="s">
        <v>3980</v>
      </c>
      <c r="C963" s="74"/>
      <c r="D963" s="74"/>
    </row>
    <row r="964" spans="2:34" ht="21" customHeight="1" outlineLevel="4" x14ac:dyDescent="0.2">
      <c r="B964" s="4">
        <v>729</v>
      </c>
      <c r="C964" s="5" t="s">
        <v>3981</v>
      </c>
      <c r="D964" s="5" t="s">
        <v>3982</v>
      </c>
      <c r="E964" s="6" t="s">
        <v>3983</v>
      </c>
      <c r="F964" s="10"/>
      <c r="G964" s="11" t="s">
        <v>3984</v>
      </c>
      <c r="H964" s="12">
        <v>50</v>
      </c>
      <c r="I964" s="13" t="s">
        <v>371</v>
      </c>
      <c r="J964" s="13"/>
      <c r="K964" s="13"/>
      <c r="L964" s="4">
        <v>12</v>
      </c>
      <c r="M964" s="14">
        <f>57*(1-P3/100)</f>
        <v>57</v>
      </c>
      <c r="N964" s="15"/>
      <c r="O964" s="13">
        <f>M964*N964</f>
        <v>0</v>
      </c>
      <c r="P964" s="22">
        <f>0.065*N964</f>
        <v>0</v>
      </c>
      <c r="Q964" s="23">
        <f>0.00028*N964</f>
        <v>0</v>
      </c>
      <c r="R964" s="24"/>
      <c r="S964" s="25" t="s">
        <v>3985</v>
      </c>
      <c r="T964" s="25" t="s">
        <v>43</v>
      </c>
      <c r="U964" s="5"/>
      <c r="V964" s="5"/>
      <c r="W964" s="5" t="s">
        <v>46</v>
      </c>
      <c r="X964" s="5"/>
      <c r="Y964" s="5"/>
      <c r="Z964" s="5" t="str">
        <f>HYPERLINK("https://knigipp.ru/api/getInfo/image/e6156429-3a25-11eb-a25e-ac1f6b442184")</f>
        <v>https://knigipp.ru/api/getInfo/image/e6156429-3a25-11eb-a25e-ac1f6b442184</v>
      </c>
      <c r="AA964" s="33">
        <v>16</v>
      </c>
      <c r="AB964" s="5"/>
      <c r="AC964" s="5" t="s">
        <v>96</v>
      </c>
      <c r="AD964" s="5"/>
      <c r="AE964" s="5" t="s">
        <v>3901</v>
      </c>
      <c r="AF964" s="5"/>
      <c r="AG964" s="5"/>
      <c r="AH964" s="5" t="s">
        <v>472</v>
      </c>
    </row>
    <row r="965" spans="2:34" ht="21" customHeight="1" outlineLevel="4" x14ac:dyDescent="0.2">
      <c r="B965" s="4">
        <v>730</v>
      </c>
      <c r="C965" s="5" t="s">
        <v>3986</v>
      </c>
      <c r="D965" s="5" t="s">
        <v>3987</v>
      </c>
      <c r="E965" s="6" t="s">
        <v>3988</v>
      </c>
      <c r="F965" s="10"/>
      <c r="G965" s="11" t="s">
        <v>3984</v>
      </c>
      <c r="H965" s="12">
        <v>50</v>
      </c>
      <c r="I965" s="13" t="s">
        <v>41</v>
      </c>
      <c r="J965" s="13"/>
      <c r="K965" s="13"/>
      <c r="L965" s="4">
        <v>12</v>
      </c>
      <c r="M965" s="14">
        <f>57*(1-P3/100)</f>
        <v>57</v>
      </c>
      <c r="N965" s="15"/>
      <c r="O965" s="13">
        <f>M965*N965</f>
        <v>0</v>
      </c>
      <c r="P965" s="32">
        <f>0.05*N965</f>
        <v>0</v>
      </c>
      <c r="Q965" s="23">
        <f>0.00011*N965</f>
        <v>0</v>
      </c>
      <c r="R965" s="24"/>
      <c r="S965" s="25" t="s">
        <v>3989</v>
      </c>
      <c r="T965" s="25" t="s">
        <v>43</v>
      </c>
      <c r="U965" s="5"/>
      <c r="V965" s="5"/>
      <c r="W965" s="5" t="s">
        <v>46</v>
      </c>
      <c r="X965" s="5"/>
      <c r="Y965" s="5"/>
      <c r="Z965" s="5" t="str">
        <f>HYPERLINK("https://knigipp.ru/api/getInfo/image/7bc365ac-3a25-11eb-a25e-ac1f6b442184")</f>
        <v>https://knigipp.ru/api/getInfo/image/7bc365ac-3a25-11eb-a25e-ac1f6b442184</v>
      </c>
      <c r="AA965" s="33">
        <v>16</v>
      </c>
      <c r="AB965" s="5"/>
      <c r="AC965" s="5" t="s">
        <v>96</v>
      </c>
      <c r="AD965" s="5"/>
      <c r="AE965" s="5" t="s">
        <v>3901</v>
      </c>
      <c r="AF965" s="5"/>
      <c r="AG965" s="5"/>
      <c r="AH965" s="5" t="s">
        <v>472</v>
      </c>
    </row>
    <row r="966" spans="2:34" ht="22.95" customHeight="1" outlineLevel="3" x14ac:dyDescent="0.2">
      <c r="B966" s="74" t="s">
        <v>3990</v>
      </c>
      <c r="C966" s="74"/>
      <c r="D966" s="74"/>
    </row>
    <row r="967" spans="2:34" ht="21" customHeight="1" outlineLevel="4" x14ac:dyDescent="0.2">
      <c r="B967" s="4">
        <v>731</v>
      </c>
      <c r="C967" s="5" t="s">
        <v>3991</v>
      </c>
      <c r="D967" s="5" t="s">
        <v>3992</v>
      </c>
      <c r="E967" s="6" t="s">
        <v>3993</v>
      </c>
      <c r="F967" s="10"/>
      <c r="G967" s="11" t="s">
        <v>3994</v>
      </c>
      <c r="H967" s="12">
        <v>20</v>
      </c>
      <c r="I967" s="13" t="s">
        <v>41</v>
      </c>
      <c r="J967" s="13"/>
      <c r="K967" s="13"/>
      <c r="L967" s="4">
        <v>3</v>
      </c>
      <c r="M967" s="14">
        <f>229*(1-P3/100)</f>
        <v>229</v>
      </c>
      <c r="N967" s="15"/>
      <c r="O967" s="13">
        <f>M967*N967</f>
        <v>0</v>
      </c>
      <c r="P967" s="22">
        <f>0.119*N967</f>
        <v>0</v>
      </c>
      <c r="Q967" s="23">
        <f>0.00069*N967</f>
        <v>0</v>
      </c>
      <c r="R967" s="24"/>
      <c r="S967" s="25" t="s">
        <v>3995</v>
      </c>
      <c r="T967" s="25" t="s">
        <v>43</v>
      </c>
      <c r="U967" s="5"/>
      <c r="V967" s="5"/>
      <c r="W967" s="5" t="s">
        <v>46</v>
      </c>
      <c r="X967" s="5" t="s">
        <v>3996</v>
      </c>
      <c r="Y967" s="5"/>
      <c r="Z967" s="5" t="str">
        <f>HYPERLINK("https://knigipp.ru/api/getInfo/image/b0b5bd52-d7ce-11ee-a25a-00155d82e908")</f>
        <v>https://knigipp.ru/api/getInfo/image/b0b5bd52-d7ce-11ee-a25a-00155d82e908</v>
      </c>
      <c r="AA967" s="33">
        <v>14</v>
      </c>
      <c r="AB967" s="5" t="s">
        <v>47</v>
      </c>
      <c r="AC967" s="5" t="s">
        <v>219</v>
      </c>
      <c r="AD967" s="5"/>
      <c r="AE967" s="5" t="s">
        <v>49</v>
      </c>
      <c r="AF967" s="5"/>
      <c r="AG967" s="5"/>
      <c r="AH967" s="5" t="s">
        <v>3997</v>
      </c>
    </row>
    <row r="968" spans="2:34" ht="21" customHeight="1" outlineLevel="4" x14ac:dyDescent="0.2">
      <c r="B968" s="4">
        <v>732</v>
      </c>
      <c r="C968" s="5" t="s">
        <v>3998</v>
      </c>
      <c r="D968" s="5" t="s">
        <v>3999</v>
      </c>
      <c r="E968" s="6" t="s">
        <v>4000</v>
      </c>
      <c r="F968" s="10"/>
      <c r="G968" s="11" t="s">
        <v>3994</v>
      </c>
      <c r="H968" s="12">
        <v>20</v>
      </c>
      <c r="I968" s="13" t="s">
        <v>41</v>
      </c>
      <c r="J968" s="13"/>
      <c r="K968" s="13"/>
      <c r="L968" s="4">
        <v>3</v>
      </c>
      <c r="M968" s="14">
        <f>229*(1-P3/100)</f>
        <v>229</v>
      </c>
      <c r="N968" s="15"/>
      <c r="O968" s="13">
        <f>M968*N968</f>
        <v>0</v>
      </c>
      <c r="P968" s="22">
        <f>0.116*N968</f>
        <v>0</v>
      </c>
      <c r="Q968" s="23">
        <f>0.00043*N968</f>
        <v>0</v>
      </c>
      <c r="R968" s="24"/>
      <c r="S968" s="25" t="s">
        <v>4001</v>
      </c>
      <c r="T968" s="25" t="s">
        <v>43</v>
      </c>
      <c r="U968" s="5"/>
      <c r="V968" s="5"/>
      <c r="W968" s="5" t="s">
        <v>46</v>
      </c>
      <c r="X968" s="5" t="s">
        <v>3996</v>
      </c>
      <c r="Y968" s="5"/>
      <c r="Z968" s="5" t="str">
        <f>HYPERLINK("https://knigipp.ru/api/getInfo/image/d01d43d1-d7ce-11ee-a25a-00155d82e908")</f>
        <v>https://knigipp.ru/api/getInfo/image/d01d43d1-d7ce-11ee-a25a-00155d82e908</v>
      </c>
      <c r="AA968" s="33">
        <v>14</v>
      </c>
      <c r="AB968" s="5" t="s">
        <v>47</v>
      </c>
      <c r="AC968" s="5" t="s">
        <v>219</v>
      </c>
      <c r="AD968" s="5"/>
      <c r="AE968" s="5" t="s">
        <v>49</v>
      </c>
      <c r="AF968" s="5"/>
      <c r="AG968" s="5"/>
      <c r="AH968" s="5" t="s">
        <v>3997</v>
      </c>
    </row>
    <row r="969" spans="2:34" ht="22.95" customHeight="1" outlineLevel="3" x14ac:dyDescent="0.2">
      <c r="B969" s="74" t="s">
        <v>4002</v>
      </c>
      <c r="C969" s="74"/>
      <c r="D969" s="74"/>
    </row>
    <row r="970" spans="2:34" ht="21" customHeight="1" outlineLevel="4" x14ac:dyDescent="0.2">
      <c r="B970" s="4">
        <v>733</v>
      </c>
      <c r="C970" s="5" t="s">
        <v>4003</v>
      </c>
      <c r="D970" s="5" t="s">
        <v>4004</v>
      </c>
      <c r="E970" s="6" t="s">
        <v>4005</v>
      </c>
      <c r="F970" s="10"/>
      <c r="G970" s="11" t="s">
        <v>4006</v>
      </c>
      <c r="H970" s="12">
        <v>50</v>
      </c>
      <c r="I970" s="13" t="s">
        <v>261</v>
      </c>
      <c r="J970" s="13"/>
      <c r="K970" s="13"/>
      <c r="L970" s="4">
        <v>7</v>
      </c>
      <c r="M970" s="14">
        <f>87.8*(1-P3/100)</f>
        <v>87.8</v>
      </c>
      <c r="N970" s="15"/>
      <c r="O970" s="13">
        <f>M970*N970</f>
        <v>0</v>
      </c>
      <c r="P970" s="22">
        <f>0.068*N970</f>
        <v>0</v>
      </c>
      <c r="Q970" s="23">
        <f>0.00056*N970</f>
        <v>0</v>
      </c>
      <c r="R970" s="24"/>
      <c r="S970" s="25" t="s">
        <v>4007</v>
      </c>
      <c r="T970" s="25" t="s">
        <v>43</v>
      </c>
      <c r="U970" s="5"/>
      <c r="V970" s="5"/>
      <c r="W970" s="5" t="s">
        <v>46</v>
      </c>
      <c r="X970" s="5"/>
      <c r="Y970" s="5"/>
      <c r="Z970" s="5" t="str">
        <f>HYPERLINK("https://knigipp.ru/api/getInfo/image/9bd56b81-6966-11ec-a20f-ac1f6b442185")</f>
        <v>https://knigipp.ru/api/getInfo/image/9bd56b81-6966-11ec-a20f-ac1f6b442185</v>
      </c>
      <c r="AA970" s="33">
        <v>16</v>
      </c>
      <c r="AB970" s="5"/>
      <c r="AC970" s="5" t="s">
        <v>96</v>
      </c>
      <c r="AD970" s="5"/>
      <c r="AE970" s="5" t="s">
        <v>49</v>
      </c>
      <c r="AF970" s="5"/>
      <c r="AG970" s="5"/>
      <c r="AH970" s="5" t="s">
        <v>3280</v>
      </c>
    </row>
    <row r="971" spans="2:34" ht="21" customHeight="1" outlineLevel="4" x14ac:dyDescent="0.2">
      <c r="B971" s="4">
        <v>734</v>
      </c>
      <c r="C971" s="5" t="s">
        <v>4008</v>
      </c>
      <c r="D971" s="5" t="s">
        <v>4009</v>
      </c>
      <c r="E971" s="6" t="s">
        <v>4010</v>
      </c>
      <c r="F971" s="10"/>
      <c r="G971" s="11" t="s">
        <v>4006</v>
      </c>
      <c r="H971" s="12">
        <v>50</v>
      </c>
      <c r="I971" s="13" t="s">
        <v>41</v>
      </c>
      <c r="J971" s="13"/>
      <c r="K971" s="13"/>
      <c r="L971" s="4">
        <v>7</v>
      </c>
      <c r="M971" s="14">
        <f>87.8*(1-P3/100)</f>
        <v>87.8</v>
      </c>
      <c r="N971" s="15"/>
      <c r="O971" s="13">
        <f>M971*N971</f>
        <v>0</v>
      </c>
      <c r="P971" s="32">
        <f>0.07*N971</f>
        <v>0</v>
      </c>
      <c r="Q971" s="23">
        <f>0.00057*N971</f>
        <v>0</v>
      </c>
      <c r="R971" s="24"/>
      <c r="S971" s="25" t="s">
        <v>4011</v>
      </c>
      <c r="T971" s="25" t="s">
        <v>43</v>
      </c>
      <c r="U971" s="5"/>
      <c r="V971" s="5"/>
      <c r="W971" s="5" t="s">
        <v>46</v>
      </c>
      <c r="X971" s="5"/>
      <c r="Y971" s="5"/>
      <c r="Z971" s="5" t="str">
        <f>HYPERLINK("https://knigipp.ru/api/getInfo/image/be5297aa-6966-11ec-a20f-ac1f6b442185")</f>
        <v>https://knigipp.ru/api/getInfo/image/be5297aa-6966-11ec-a20f-ac1f6b442185</v>
      </c>
      <c r="AA971" s="33">
        <v>16</v>
      </c>
      <c r="AB971" s="5"/>
      <c r="AC971" s="5" t="s">
        <v>96</v>
      </c>
      <c r="AD971" s="5"/>
      <c r="AE971" s="5" t="s">
        <v>49</v>
      </c>
      <c r="AF971" s="5"/>
      <c r="AG971" s="5"/>
      <c r="AH971" s="5" t="s">
        <v>3280</v>
      </c>
    </row>
    <row r="972" spans="2:34" ht="22.95" customHeight="1" outlineLevel="3" x14ac:dyDescent="0.2">
      <c r="B972" s="74" t="s">
        <v>4012</v>
      </c>
      <c r="C972" s="74"/>
      <c r="D972" s="74"/>
    </row>
    <row r="973" spans="2:34" ht="21" customHeight="1" outlineLevel="4" x14ac:dyDescent="0.2">
      <c r="B973" s="4">
        <v>735</v>
      </c>
      <c r="C973" s="5" t="s">
        <v>4013</v>
      </c>
      <c r="D973" s="5" t="s">
        <v>4014</v>
      </c>
      <c r="E973" s="6" t="s">
        <v>4015</v>
      </c>
      <c r="F973" s="10"/>
      <c r="G973" s="11" t="s">
        <v>4016</v>
      </c>
      <c r="H973" s="12">
        <v>30</v>
      </c>
      <c r="I973" s="13" t="s">
        <v>41</v>
      </c>
      <c r="J973" s="13"/>
      <c r="K973" s="13"/>
      <c r="L973" s="4">
        <v>5</v>
      </c>
      <c r="M973" s="14">
        <f>117*(1-P3/100)</f>
        <v>117</v>
      </c>
      <c r="N973" s="15"/>
      <c r="O973" s="13">
        <f>M973*N973</f>
        <v>0</v>
      </c>
      <c r="P973" s="22">
        <f>0.055*N973</f>
        <v>0</v>
      </c>
      <c r="Q973" s="23">
        <f>0.00011*N973</f>
        <v>0</v>
      </c>
      <c r="R973" s="24"/>
      <c r="S973" s="25" t="s">
        <v>4017</v>
      </c>
      <c r="T973" s="25" t="s">
        <v>43</v>
      </c>
      <c r="U973" s="5"/>
      <c r="V973" s="5" t="s">
        <v>4018</v>
      </c>
      <c r="W973" s="5" t="s">
        <v>46</v>
      </c>
      <c r="X973" s="5"/>
      <c r="Y973" s="5"/>
      <c r="Z973" s="5" t="str">
        <f>HYPERLINK("https://knigipp.ru/api/getInfo/image/22df08dd-045d-11ef-a25d-00155d82e908")</f>
        <v>https://knigipp.ru/api/getInfo/image/22df08dd-045d-11ef-a25d-00155d82e908</v>
      </c>
      <c r="AA973" s="33">
        <v>24</v>
      </c>
      <c r="AB973" s="5"/>
      <c r="AC973" s="5" t="s">
        <v>96</v>
      </c>
      <c r="AD973" s="5"/>
      <c r="AE973" s="5" t="s">
        <v>49</v>
      </c>
      <c r="AF973" s="5"/>
      <c r="AG973" s="5"/>
      <c r="AH973" s="5" t="s">
        <v>4019</v>
      </c>
    </row>
    <row r="974" spans="2:34" ht="21" customHeight="1" outlineLevel="4" x14ac:dyDescent="0.2">
      <c r="B974" s="4">
        <v>736</v>
      </c>
      <c r="C974" s="5" t="s">
        <v>4020</v>
      </c>
      <c r="D974" s="5" t="s">
        <v>4021</v>
      </c>
      <c r="E974" s="6" t="s">
        <v>4022</v>
      </c>
      <c r="F974" s="10"/>
      <c r="G974" s="11" t="s">
        <v>4016</v>
      </c>
      <c r="H974" s="12">
        <v>30</v>
      </c>
      <c r="I974" s="13" t="s">
        <v>371</v>
      </c>
      <c r="J974" s="13"/>
      <c r="K974" s="13"/>
      <c r="L974" s="4">
        <v>5</v>
      </c>
      <c r="M974" s="14">
        <f>117*(1-P3/100)</f>
        <v>117</v>
      </c>
      <c r="N974" s="15"/>
      <c r="O974" s="13">
        <f>M974*N974</f>
        <v>0</v>
      </c>
      <c r="P974" s="22">
        <f>0.053*N974</f>
        <v>0</v>
      </c>
      <c r="Q974" s="23">
        <f>0.00011*N974</f>
        <v>0</v>
      </c>
      <c r="R974" s="24"/>
      <c r="S974" s="25" t="s">
        <v>4023</v>
      </c>
      <c r="T974" s="25" t="s">
        <v>43</v>
      </c>
      <c r="U974" s="5"/>
      <c r="V974" s="5" t="s">
        <v>4024</v>
      </c>
      <c r="W974" s="5" t="s">
        <v>46</v>
      </c>
      <c r="X974" s="5"/>
      <c r="Y974" s="5"/>
      <c r="Z974" s="5" t="str">
        <f>HYPERLINK("https://knigipp.ru/api/getInfo/image/4be7e1f3-045d-11ef-a25d-00155d82e908")</f>
        <v>https://knigipp.ru/api/getInfo/image/4be7e1f3-045d-11ef-a25d-00155d82e908</v>
      </c>
      <c r="AA974" s="33">
        <v>24</v>
      </c>
      <c r="AB974" s="5"/>
      <c r="AC974" s="5" t="s">
        <v>96</v>
      </c>
      <c r="AD974" s="5"/>
      <c r="AE974" s="5" t="s">
        <v>49</v>
      </c>
      <c r="AF974" s="5"/>
      <c r="AG974" s="5"/>
      <c r="AH974" s="5" t="s">
        <v>4019</v>
      </c>
    </row>
    <row r="975" spans="2:34" ht="21" customHeight="1" outlineLevel="4" x14ac:dyDescent="0.2">
      <c r="B975" s="4">
        <v>737</v>
      </c>
      <c r="C975" s="5" t="s">
        <v>4025</v>
      </c>
      <c r="D975" s="5" t="s">
        <v>4026</v>
      </c>
      <c r="E975" s="6" t="s">
        <v>4027</v>
      </c>
      <c r="F975" s="10"/>
      <c r="G975" s="11" t="s">
        <v>4016</v>
      </c>
      <c r="H975" s="12">
        <v>30</v>
      </c>
      <c r="I975" s="13" t="s">
        <v>261</v>
      </c>
      <c r="J975" s="13"/>
      <c r="K975" s="13"/>
      <c r="L975" s="4">
        <v>5</v>
      </c>
      <c r="M975" s="14">
        <f>117*(1-P3/100)</f>
        <v>117</v>
      </c>
      <c r="N975" s="15"/>
      <c r="O975" s="13">
        <f>M975*N975</f>
        <v>0</v>
      </c>
      <c r="P975" s="22">
        <f>0.055*N975</f>
        <v>0</v>
      </c>
      <c r="Q975" s="23">
        <f>0.00011*N975</f>
        <v>0</v>
      </c>
      <c r="R975" s="24"/>
      <c r="S975" s="25" t="s">
        <v>4028</v>
      </c>
      <c r="T975" s="25" t="s">
        <v>43</v>
      </c>
      <c r="U975" s="5"/>
      <c r="V975" s="5" t="s">
        <v>4029</v>
      </c>
      <c r="W975" s="5" t="s">
        <v>46</v>
      </c>
      <c r="X975" s="5"/>
      <c r="Y975" s="5"/>
      <c r="Z975" s="5" t="str">
        <f>HYPERLINK("https://knigipp.ru/api/getInfo/image/6b628934-045d-11ef-a25d-00155d82e908")</f>
        <v>https://knigipp.ru/api/getInfo/image/6b628934-045d-11ef-a25d-00155d82e908</v>
      </c>
      <c r="AA975" s="33">
        <v>24</v>
      </c>
      <c r="AB975" s="5"/>
      <c r="AC975" s="5" t="s">
        <v>96</v>
      </c>
      <c r="AD975" s="5"/>
      <c r="AE975" s="5" t="s">
        <v>49</v>
      </c>
      <c r="AF975" s="5"/>
      <c r="AG975" s="5"/>
      <c r="AH975" s="5" t="s">
        <v>4019</v>
      </c>
    </row>
    <row r="976" spans="2:34" ht="21" customHeight="1" outlineLevel="4" x14ac:dyDescent="0.2">
      <c r="B976" s="4">
        <v>738</v>
      </c>
      <c r="C976" s="5" t="s">
        <v>4030</v>
      </c>
      <c r="D976" s="5" t="s">
        <v>4031</v>
      </c>
      <c r="E976" s="6" t="s">
        <v>4032</v>
      </c>
      <c r="F976" s="10"/>
      <c r="G976" s="11" t="s">
        <v>4016</v>
      </c>
      <c r="H976" s="12">
        <v>30</v>
      </c>
      <c r="I976" s="13" t="s">
        <v>41</v>
      </c>
      <c r="J976" s="13"/>
      <c r="K976" s="13"/>
      <c r="L976" s="4">
        <v>5</v>
      </c>
      <c r="M976" s="14">
        <f>117*(1-P3/100)</f>
        <v>117</v>
      </c>
      <c r="N976" s="15"/>
      <c r="O976" s="13">
        <f>M976*N976</f>
        <v>0</v>
      </c>
      <c r="P976" s="22">
        <f>0.055*N976</f>
        <v>0</v>
      </c>
      <c r="Q976" s="23">
        <f>0.00011*N976</f>
        <v>0</v>
      </c>
      <c r="R976" s="24"/>
      <c r="S976" s="25" t="s">
        <v>4033</v>
      </c>
      <c r="T976" s="25" t="s">
        <v>43</v>
      </c>
      <c r="U976" s="5"/>
      <c r="V976" s="5" t="s">
        <v>4034</v>
      </c>
      <c r="W976" s="5" t="s">
        <v>46</v>
      </c>
      <c r="X976" s="5"/>
      <c r="Y976" s="5"/>
      <c r="Z976" s="5" t="str">
        <f>HYPERLINK("https://knigipp.ru/api/getInfo/image/93e11b7d-045d-11ef-a25d-00155d82e908")</f>
        <v>https://knigipp.ru/api/getInfo/image/93e11b7d-045d-11ef-a25d-00155d82e908</v>
      </c>
      <c r="AA976" s="33">
        <v>24</v>
      </c>
      <c r="AB976" s="5"/>
      <c r="AC976" s="5" t="s">
        <v>96</v>
      </c>
      <c r="AD976" s="5"/>
      <c r="AE976" s="5" t="s">
        <v>49</v>
      </c>
      <c r="AF976" s="5"/>
      <c r="AG976" s="5"/>
      <c r="AH976" s="5" t="s">
        <v>4019</v>
      </c>
    </row>
    <row r="977" spans="2:34" ht="22.95" customHeight="1" outlineLevel="3" x14ac:dyDescent="0.2">
      <c r="B977" s="74" t="s">
        <v>4035</v>
      </c>
      <c r="C977" s="74"/>
      <c r="D977" s="74"/>
    </row>
    <row r="978" spans="2:34" ht="21" customHeight="1" outlineLevel="4" x14ac:dyDescent="0.2">
      <c r="B978" s="4">
        <v>739</v>
      </c>
      <c r="C978" s="5" t="s">
        <v>4036</v>
      </c>
      <c r="D978" s="5" t="s">
        <v>4037</v>
      </c>
      <c r="E978" s="6" t="s">
        <v>4038</v>
      </c>
      <c r="F978" s="10"/>
      <c r="G978" s="11" t="s">
        <v>4039</v>
      </c>
      <c r="H978" s="12">
        <v>20</v>
      </c>
      <c r="I978" s="13" t="s">
        <v>41</v>
      </c>
      <c r="J978" s="13"/>
      <c r="K978" s="13"/>
      <c r="L978" s="4">
        <v>4</v>
      </c>
      <c r="M978" s="14">
        <f>169*(1-P3/100)</f>
        <v>169</v>
      </c>
      <c r="N978" s="15"/>
      <c r="O978" s="13">
        <f>M978*N978</f>
        <v>0</v>
      </c>
      <c r="P978" s="22">
        <f>0.129*N978</f>
        <v>0</v>
      </c>
      <c r="Q978" s="30">
        <f>0.0004*N978</f>
        <v>0</v>
      </c>
      <c r="R978" s="24"/>
      <c r="S978" s="25" t="s">
        <v>4040</v>
      </c>
      <c r="T978" s="25" t="s">
        <v>43</v>
      </c>
      <c r="U978" s="5"/>
      <c r="V978" s="5" t="s">
        <v>4041</v>
      </c>
      <c r="W978" s="5" t="s">
        <v>46</v>
      </c>
      <c r="X978" s="5" t="s">
        <v>4042</v>
      </c>
      <c r="Y978" s="5"/>
      <c r="Z978" s="5" t="str">
        <f>HYPERLINK("https://knigipp.ru/api/getInfo/image/a2691cc9-3554-11ef-a261-00155d82e908")</f>
        <v>https://knigipp.ru/api/getInfo/image/a2691cc9-3554-11ef-a261-00155d82e908</v>
      </c>
      <c r="AA978" s="33">
        <v>32</v>
      </c>
      <c r="AB978" s="5" t="s">
        <v>47</v>
      </c>
      <c r="AC978" s="5" t="s">
        <v>96</v>
      </c>
      <c r="AD978" s="5"/>
      <c r="AE978" s="5" t="s">
        <v>3901</v>
      </c>
      <c r="AF978" s="5"/>
      <c r="AG978" s="5"/>
      <c r="AH978" s="5" t="s">
        <v>4043</v>
      </c>
    </row>
    <row r="979" spans="2:34" ht="21" customHeight="1" outlineLevel="4" x14ac:dyDescent="0.2">
      <c r="B979" s="4">
        <v>740</v>
      </c>
      <c r="C979" s="5" t="s">
        <v>4044</v>
      </c>
      <c r="D979" s="5" t="s">
        <v>4045</v>
      </c>
      <c r="E979" s="6" t="s">
        <v>4046</v>
      </c>
      <c r="F979" s="10"/>
      <c r="G979" s="11" t="s">
        <v>4047</v>
      </c>
      <c r="H979" s="12">
        <v>20</v>
      </c>
      <c r="I979" s="13" t="s">
        <v>41</v>
      </c>
      <c r="J979" s="13"/>
      <c r="K979" s="13"/>
      <c r="L979" s="4">
        <v>4</v>
      </c>
      <c r="M979" s="14">
        <f>169*(1-P3/100)</f>
        <v>169</v>
      </c>
      <c r="N979" s="15"/>
      <c r="O979" s="13">
        <f>M979*N979</f>
        <v>0</v>
      </c>
      <c r="P979" s="22">
        <f>0.132*N979</f>
        <v>0</v>
      </c>
      <c r="Q979" s="23">
        <f>0.00036*N979</f>
        <v>0</v>
      </c>
      <c r="R979" s="24"/>
      <c r="S979" s="25" t="s">
        <v>4048</v>
      </c>
      <c r="T979" s="25" t="s">
        <v>43</v>
      </c>
      <c r="U979" s="5"/>
      <c r="V979" s="5"/>
      <c r="W979" s="5" t="s">
        <v>46</v>
      </c>
      <c r="X979" s="5" t="s">
        <v>992</v>
      </c>
      <c r="Y979" s="5"/>
      <c r="Z979" s="5" t="str">
        <f>HYPERLINK("https://knigipp.ru/api/getInfo/image/cf3c45b0-3554-11ef-a261-00155d82e908")</f>
        <v>https://knigipp.ru/api/getInfo/image/cf3c45b0-3554-11ef-a261-00155d82e908</v>
      </c>
      <c r="AA979" s="33">
        <v>32</v>
      </c>
      <c r="AB979" s="5" t="s">
        <v>47</v>
      </c>
      <c r="AC979" s="5" t="s">
        <v>96</v>
      </c>
      <c r="AD979" s="5"/>
      <c r="AE979" s="5" t="s">
        <v>3901</v>
      </c>
      <c r="AF979" s="5"/>
      <c r="AG979" s="5"/>
      <c r="AH979" s="5" t="s">
        <v>4049</v>
      </c>
    </row>
    <row r="980" spans="2:34" ht="22.95" customHeight="1" outlineLevel="2" x14ac:dyDescent="0.2">
      <c r="B980" s="73" t="s">
        <v>4050</v>
      </c>
      <c r="C980" s="73"/>
      <c r="D980" s="73"/>
    </row>
    <row r="981" spans="2:34" ht="22.95" customHeight="1" outlineLevel="3" x14ac:dyDescent="0.2">
      <c r="B981" s="74" t="s">
        <v>4051</v>
      </c>
      <c r="C981" s="74"/>
      <c r="D981" s="74"/>
    </row>
    <row r="982" spans="2:34" ht="21" customHeight="1" outlineLevel="4" x14ac:dyDescent="0.2">
      <c r="B982" s="4">
        <v>741</v>
      </c>
      <c r="C982" s="5" t="s">
        <v>4052</v>
      </c>
      <c r="D982" s="5" t="s">
        <v>4053</v>
      </c>
      <c r="E982" s="6" t="s">
        <v>4054</v>
      </c>
      <c r="F982" s="10"/>
      <c r="G982" s="11" t="s">
        <v>4055</v>
      </c>
      <c r="H982" s="12">
        <v>30</v>
      </c>
      <c r="I982" s="13" t="s">
        <v>41</v>
      </c>
      <c r="J982" s="13"/>
      <c r="K982" s="13"/>
      <c r="L982" s="4">
        <v>12</v>
      </c>
      <c r="M982" s="14">
        <f>57*(1-P3/100)</f>
        <v>57</v>
      </c>
      <c r="N982" s="15"/>
      <c r="O982" s="13">
        <f t="shared" ref="O982:O989" si="27">M982*N982</f>
        <v>0</v>
      </c>
      <c r="P982" s="22">
        <f>0.029*N982</f>
        <v>0</v>
      </c>
      <c r="Q982" s="23">
        <f>0.00016*N982</f>
        <v>0</v>
      </c>
      <c r="R982" s="24"/>
      <c r="S982" s="25" t="s">
        <v>4056</v>
      </c>
      <c r="T982" s="25" t="s">
        <v>43</v>
      </c>
      <c r="U982" s="5" t="s">
        <v>4057</v>
      </c>
      <c r="V982" s="5" t="s">
        <v>4058</v>
      </c>
      <c r="W982" s="5"/>
      <c r="X982" s="5"/>
      <c r="Y982" s="5"/>
      <c r="Z982" s="5" t="str">
        <f>HYPERLINK("https://knigipp.ru/api/getInfo/image/b0881ac2-c4fb-11ef-a268-00155d82e908")</f>
        <v>https://knigipp.ru/api/getInfo/image/b0881ac2-c4fb-11ef-a268-00155d82e908</v>
      </c>
      <c r="AA982" s="33">
        <v>12</v>
      </c>
      <c r="AB982" s="5" t="s">
        <v>47</v>
      </c>
      <c r="AC982" s="5" t="s">
        <v>96</v>
      </c>
      <c r="AD982" s="5"/>
      <c r="AE982" s="5" t="s">
        <v>49</v>
      </c>
      <c r="AF982" s="5"/>
      <c r="AG982" s="5"/>
      <c r="AH982" s="5" t="s">
        <v>4059</v>
      </c>
    </row>
    <row r="983" spans="2:34" ht="21" customHeight="1" outlineLevel="4" x14ac:dyDescent="0.2">
      <c r="B983" s="4">
        <v>742</v>
      </c>
      <c r="C983" s="5" t="s">
        <v>4060</v>
      </c>
      <c r="D983" s="5" t="s">
        <v>4061</v>
      </c>
      <c r="E983" s="6" t="s">
        <v>4062</v>
      </c>
      <c r="F983" s="10"/>
      <c r="G983" s="11" t="s">
        <v>4055</v>
      </c>
      <c r="H983" s="12">
        <v>30</v>
      </c>
      <c r="I983" s="13" t="s">
        <v>41</v>
      </c>
      <c r="J983" s="13"/>
      <c r="K983" s="13"/>
      <c r="L983" s="4">
        <v>12</v>
      </c>
      <c r="M983" s="14">
        <f>57*(1-P3/100)</f>
        <v>57</v>
      </c>
      <c r="N983" s="15"/>
      <c r="O983" s="13">
        <f t="shared" si="27"/>
        <v>0</v>
      </c>
      <c r="P983" s="22">
        <f>0.043*N983</f>
        <v>0</v>
      </c>
      <c r="Q983" s="23">
        <f>0.00009*N983</f>
        <v>0</v>
      </c>
      <c r="R983" s="24"/>
      <c r="S983" s="25" t="s">
        <v>4063</v>
      </c>
      <c r="T983" s="25" t="s">
        <v>43</v>
      </c>
      <c r="U983" s="5" t="s">
        <v>4057</v>
      </c>
      <c r="V983" s="5" t="s">
        <v>4064</v>
      </c>
      <c r="W983" s="5"/>
      <c r="X983" s="5"/>
      <c r="Y983" s="5"/>
      <c r="Z983" s="5" t="str">
        <f>HYPERLINK("https://knigipp.ru/api/getInfo/image/086cbbc6-c4fc-11ef-a268-00155d82e908")</f>
        <v>https://knigipp.ru/api/getInfo/image/086cbbc6-c4fc-11ef-a268-00155d82e908</v>
      </c>
      <c r="AA983" s="33">
        <v>12</v>
      </c>
      <c r="AB983" s="5" t="s">
        <v>47</v>
      </c>
      <c r="AC983" s="5" t="s">
        <v>96</v>
      </c>
      <c r="AD983" s="5"/>
      <c r="AE983" s="5" t="s">
        <v>49</v>
      </c>
      <c r="AF983" s="5"/>
      <c r="AG983" s="5"/>
      <c r="AH983" s="5" t="s">
        <v>4059</v>
      </c>
    </row>
    <row r="984" spans="2:34" ht="21" customHeight="1" outlineLevel="4" x14ac:dyDescent="0.2">
      <c r="B984" s="4">
        <v>743</v>
      </c>
      <c r="C984" s="5" t="s">
        <v>4065</v>
      </c>
      <c r="D984" s="5" t="s">
        <v>4066</v>
      </c>
      <c r="E984" s="6" t="s">
        <v>4067</v>
      </c>
      <c r="F984" s="10"/>
      <c r="G984" s="11" t="s">
        <v>4055</v>
      </c>
      <c r="H984" s="12">
        <v>30</v>
      </c>
      <c r="I984" s="13" t="s">
        <v>41</v>
      </c>
      <c r="J984" s="13"/>
      <c r="K984" s="13"/>
      <c r="L984" s="4">
        <v>12</v>
      </c>
      <c r="M984" s="14">
        <f>57*(1-P3/100)</f>
        <v>57</v>
      </c>
      <c r="N984" s="15"/>
      <c r="O984" s="13">
        <f t="shared" si="27"/>
        <v>0</v>
      </c>
      <c r="P984" s="22">
        <f>0.029*N984</f>
        <v>0</v>
      </c>
      <c r="Q984" s="23">
        <f>0.00016*N984</f>
        <v>0</v>
      </c>
      <c r="R984" s="24"/>
      <c r="S984" s="25" t="s">
        <v>4068</v>
      </c>
      <c r="T984" s="25" t="s">
        <v>43</v>
      </c>
      <c r="U984" s="5" t="s">
        <v>4057</v>
      </c>
      <c r="V984" s="5" t="s">
        <v>4069</v>
      </c>
      <c r="W984" s="5"/>
      <c r="X984" s="5"/>
      <c r="Y984" s="5"/>
      <c r="Z984" s="5" t="str">
        <f>HYPERLINK("https://knigipp.ru/api/getInfo/image/afe2a0a8-c4fc-11ef-a268-00155d82e908")</f>
        <v>https://knigipp.ru/api/getInfo/image/afe2a0a8-c4fc-11ef-a268-00155d82e908</v>
      </c>
      <c r="AA984" s="33">
        <v>12</v>
      </c>
      <c r="AB984" s="5" t="s">
        <v>47</v>
      </c>
      <c r="AC984" s="5" t="s">
        <v>96</v>
      </c>
      <c r="AD984" s="5"/>
      <c r="AE984" s="5" t="s">
        <v>49</v>
      </c>
      <c r="AF984" s="5"/>
      <c r="AG984" s="5"/>
      <c r="AH984" s="5" t="s">
        <v>4059</v>
      </c>
    </row>
    <row r="985" spans="2:34" ht="21" customHeight="1" outlineLevel="4" x14ac:dyDescent="0.2">
      <c r="B985" s="4">
        <v>744</v>
      </c>
      <c r="C985" s="5" t="s">
        <v>4070</v>
      </c>
      <c r="D985" s="5" t="s">
        <v>4071</v>
      </c>
      <c r="E985" s="6" t="s">
        <v>4072</v>
      </c>
      <c r="F985" s="10"/>
      <c r="G985" s="11" t="s">
        <v>4055</v>
      </c>
      <c r="H985" s="12">
        <v>30</v>
      </c>
      <c r="I985" s="13" t="s">
        <v>41</v>
      </c>
      <c r="J985" s="13"/>
      <c r="K985" s="13"/>
      <c r="L985" s="4">
        <v>12</v>
      </c>
      <c r="M985" s="14">
        <f>57*(1-P3/100)</f>
        <v>57</v>
      </c>
      <c r="N985" s="15"/>
      <c r="O985" s="13">
        <f t="shared" si="27"/>
        <v>0</v>
      </c>
      <c r="P985" s="22">
        <f>0.043*N985</f>
        <v>0</v>
      </c>
      <c r="Q985" s="23">
        <f>0.00009*N985</f>
        <v>0</v>
      </c>
      <c r="R985" s="24"/>
      <c r="S985" s="25" t="s">
        <v>4073</v>
      </c>
      <c r="T985" s="25" t="s">
        <v>43</v>
      </c>
      <c r="U985" s="5" t="s">
        <v>4057</v>
      </c>
      <c r="V985" s="5" t="s">
        <v>4074</v>
      </c>
      <c r="W985" s="5"/>
      <c r="X985" s="5"/>
      <c r="Y985" s="5"/>
      <c r="Z985" s="5" t="str">
        <f>HYPERLINK("https://knigipp.ru/api/getInfo/image/623dcab2-c4fc-11ef-a268-00155d82e908")</f>
        <v>https://knigipp.ru/api/getInfo/image/623dcab2-c4fc-11ef-a268-00155d82e908</v>
      </c>
      <c r="AA985" s="33">
        <v>12</v>
      </c>
      <c r="AB985" s="5" t="s">
        <v>47</v>
      </c>
      <c r="AC985" s="5" t="s">
        <v>96</v>
      </c>
      <c r="AD985" s="5"/>
      <c r="AE985" s="5" t="s">
        <v>49</v>
      </c>
      <c r="AF985" s="5"/>
      <c r="AG985" s="5"/>
      <c r="AH985" s="5" t="s">
        <v>4059</v>
      </c>
    </row>
    <row r="986" spans="2:34" ht="21" customHeight="1" outlineLevel="4" x14ac:dyDescent="0.2">
      <c r="B986" s="4">
        <v>745</v>
      </c>
      <c r="C986" s="5" t="s">
        <v>4075</v>
      </c>
      <c r="D986" s="5" t="s">
        <v>4076</v>
      </c>
      <c r="E986" s="6" t="s">
        <v>4077</v>
      </c>
      <c r="F986" s="10"/>
      <c r="G986" s="11" t="s">
        <v>4055</v>
      </c>
      <c r="H986" s="12">
        <v>30</v>
      </c>
      <c r="I986" s="13" t="s">
        <v>41</v>
      </c>
      <c r="J986" s="13"/>
      <c r="K986" s="13"/>
      <c r="L986" s="4">
        <v>12</v>
      </c>
      <c r="M986" s="14">
        <f>57*(1-P3/100)</f>
        <v>57</v>
      </c>
      <c r="N986" s="15"/>
      <c r="O986" s="13">
        <f t="shared" si="27"/>
        <v>0</v>
      </c>
      <c r="P986" s="32">
        <f>0.43*N986</f>
        <v>0</v>
      </c>
      <c r="Q986" s="23">
        <f>0.00009*N986</f>
        <v>0</v>
      </c>
      <c r="R986" s="24"/>
      <c r="S986" s="25" t="s">
        <v>4078</v>
      </c>
      <c r="T986" s="25" t="s">
        <v>43</v>
      </c>
      <c r="U986" s="5" t="s">
        <v>4057</v>
      </c>
      <c r="V986" s="5" t="s">
        <v>4079</v>
      </c>
      <c r="W986" s="5"/>
      <c r="X986" s="5"/>
      <c r="Y986" s="5"/>
      <c r="Z986" s="5" t="str">
        <f>HYPERLINK("https://knigipp.ru/api/getInfo/image/d99c7509-c4fc-11ef-a268-00155d82e908")</f>
        <v>https://knigipp.ru/api/getInfo/image/d99c7509-c4fc-11ef-a268-00155d82e908</v>
      </c>
      <c r="AA986" s="33">
        <v>12</v>
      </c>
      <c r="AB986" s="5" t="s">
        <v>47</v>
      </c>
      <c r="AC986" s="5" t="s">
        <v>96</v>
      </c>
      <c r="AD986" s="5"/>
      <c r="AE986" s="5" t="s">
        <v>49</v>
      </c>
      <c r="AF986" s="5"/>
      <c r="AG986" s="5"/>
      <c r="AH986" s="5" t="s">
        <v>4059</v>
      </c>
    </row>
    <row r="987" spans="2:34" ht="21" customHeight="1" outlineLevel="4" x14ac:dyDescent="0.2">
      <c r="B987" s="4">
        <v>746</v>
      </c>
      <c r="C987" s="5" t="s">
        <v>4080</v>
      </c>
      <c r="D987" s="5" t="s">
        <v>4081</v>
      </c>
      <c r="E987" s="6" t="s">
        <v>4082</v>
      </c>
      <c r="F987" s="10"/>
      <c r="G987" s="11" t="s">
        <v>4055</v>
      </c>
      <c r="H987" s="12">
        <v>30</v>
      </c>
      <c r="I987" s="13" t="s">
        <v>41</v>
      </c>
      <c r="J987" s="13"/>
      <c r="K987" s="13"/>
      <c r="L987" s="4">
        <v>12</v>
      </c>
      <c r="M987" s="14">
        <f>57*(1-P3/100)</f>
        <v>57</v>
      </c>
      <c r="N987" s="15"/>
      <c r="O987" s="13">
        <f t="shared" si="27"/>
        <v>0</v>
      </c>
      <c r="P987" s="22">
        <f>0.043*N987</f>
        <v>0</v>
      </c>
      <c r="Q987" s="23">
        <f>0.00009*N987</f>
        <v>0</v>
      </c>
      <c r="R987" s="24"/>
      <c r="S987" s="25" t="s">
        <v>4083</v>
      </c>
      <c r="T987" s="25" t="s">
        <v>43</v>
      </c>
      <c r="U987" s="5" t="s">
        <v>4057</v>
      </c>
      <c r="V987" s="5" t="s">
        <v>4084</v>
      </c>
      <c r="W987" s="5"/>
      <c r="X987" s="5"/>
      <c r="Y987" s="5"/>
      <c r="Z987" s="5" t="str">
        <f>HYPERLINK("https://knigipp.ru/api/getInfo/image/86c84067-c4fc-11ef-a268-00155d82e908")</f>
        <v>https://knigipp.ru/api/getInfo/image/86c84067-c4fc-11ef-a268-00155d82e908</v>
      </c>
      <c r="AA987" s="33">
        <v>12</v>
      </c>
      <c r="AB987" s="5" t="s">
        <v>47</v>
      </c>
      <c r="AC987" s="5" t="s">
        <v>96</v>
      </c>
      <c r="AD987" s="5"/>
      <c r="AE987" s="5" t="s">
        <v>49</v>
      </c>
      <c r="AF987" s="5"/>
      <c r="AG987" s="5"/>
      <c r="AH987" s="5" t="s">
        <v>4059</v>
      </c>
    </row>
    <row r="988" spans="2:34" ht="21" customHeight="1" outlineLevel="4" x14ac:dyDescent="0.2">
      <c r="B988" s="4">
        <v>747</v>
      </c>
      <c r="C988" s="5" t="s">
        <v>4085</v>
      </c>
      <c r="D988" s="5" t="s">
        <v>4086</v>
      </c>
      <c r="E988" s="6" t="s">
        <v>4087</v>
      </c>
      <c r="F988" s="10"/>
      <c r="G988" s="11" t="s">
        <v>4055</v>
      </c>
      <c r="H988" s="12">
        <v>30</v>
      </c>
      <c r="I988" s="13" t="s">
        <v>41</v>
      </c>
      <c r="J988" s="13"/>
      <c r="K988" s="13"/>
      <c r="L988" s="4">
        <v>12</v>
      </c>
      <c r="M988" s="14">
        <f>57*(1-P3/100)</f>
        <v>57</v>
      </c>
      <c r="N988" s="15"/>
      <c r="O988" s="13">
        <f t="shared" si="27"/>
        <v>0</v>
      </c>
      <c r="P988" s="22">
        <f>0.026*N988</f>
        <v>0</v>
      </c>
      <c r="Q988" s="23">
        <f>0.00012*N988</f>
        <v>0</v>
      </c>
      <c r="R988" s="24"/>
      <c r="S988" s="25" t="s">
        <v>4088</v>
      </c>
      <c r="T988" s="25" t="s">
        <v>43</v>
      </c>
      <c r="U988" s="5" t="s">
        <v>4057</v>
      </c>
      <c r="V988" s="5" t="s">
        <v>4089</v>
      </c>
      <c r="W988" s="5"/>
      <c r="X988" s="5"/>
      <c r="Y988" s="5"/>
      <c r="Z988" s="5" t="str">
        <f>HYPERLINK("https://knigipp.ru/api/getInfo/image/fe066a82-c4fc-11ef-a268-00155d82e908")</f>
        <v>https://knigipp.ru/api/getInfo/image/fe066a82-c4fc-11ef-a268-00155d82e908</v>
      </c>
      <c r="AA988" s="33">
        <v>12</v>
      </c>
      <c r="AB988" s="5" t="s">
        <v>47</v>
      </c>
      <c r="AC988" s="5" t="s">
        <v>96</v>
      </c>
      <c r="AD988" s="5"/>
      <c r="AE988" s="5" t="s">
        <v>49</v>
      </c>
      <c r="AF988" s="5"/>
      <c r="AG988" s="5"/>
      <c r="AH988" s="5" t="s">
        <v>4059</v>
      </c>
    </row>
    <row r="989" spans="2:34" ht="21" customHeight="1" outlineLevel="4" x14ac:dyDescent="0.2">
      <c r="B989" s="4">
        <v>748</v>
      </c>
      <c r="C989" s="5" t="s">
        <v>4090</v>
      </c>
      <c r="D989" s="5" t="s">
        <v>4091</v>
      </c>
      <c r="E989" s="6" t="s">
        <v>4092</v>
      </c>
      <c r="F989" s="10"/>
      <c r="G989" s="11" t="s">
        <v>4055</v>
      </c>
      <c r="H989" s="12">
        <v>30</v>
      </c>
      <c r="I989" s="13" t="s">
        <v>41</v>
      </c>
      <c r="J989" s="13"/>
      <c r="K989" s="13"/>
      <c r="L989" s="4">
        <v>12</v>
      </c>
      <c r="M989" s="14">
        <f>57*(1-P3/100)</f>
        <v>57</v>
      </c>
      <c r="N989" s="15"/>
      <c r="O989" s="13">
        <f t="shared" si="27"/>
        <v>0</v>
      </c>
      <c r="P989" s="22">
        <f>0.043*N989</f>
        <v>0</v>
      </c>
      <c r="Q989" s="23">
        <f>0.00009*N989</f>
        <v>0</v>
      </c>
      <c r="R989" s="24"/>
      <c r="S989" s="25" t="s">
        <v>4093</v>
      </c>
      <c r="T989" s="25" t="s">
        <v>43</v>
      </c>
      <c r="U989" s="5" t="s">
        <v>4057</v>
      </c>
      <c r="V989" s="5" t="s">
        <v>4094</v>
      </c>
      <c r="W989" s="5"/>
      <c r="X989" s="5"/>
      <c r="Y989" s="5"/>
      <c r="Z989" s="5" t="str">
        <f>HYPERLINK("https://knigipp.ru/api/getInfo/image/31b3356a-c4fc-11ef-a268-00155d82e908")</f>
        <v>https://knigipp.ru/api/getInfo/image/31b3356a-c4fc-11ef-a268-00155d82e908</v>
      </c>
      <c r="AA989" s="33">
        <v>12</v>
      </c>
      <c r="AB989" s="5" t="s">
        <v>47</v>
      </c>
      <c r="AC989" s="5" t="s">
        <v>96</v>
      </c>
      <c r="AD989" s="5"/>
      <c r="AE989" s="5" t="s">
        <v>49</v>
      </c>
      <c r="AF989" s="5"/>
      <c r="AG989" s="5"/>
      <c r="AH989" s="5" t="s">
        <v>4059</v>
      </c>
    </row>
    <row r="990" spans="2:34" ht="22.95" customHeight="1" outlineLevel="3" x14ac:dyDescent="0.2">
      <c r="B990" s="74" t="s">
        <v>4095</v>
      </c>
      <c r="C990" s="74"/>
      <c r="D990" s="74"/>
    </row>
    <row r="991" spans="2:34" ht="21" customHeight="1" outlineLevel="4" x14ac:dyDescent="0.2">
      <c r="B991" s="4">
        <v>749</v>
      </c>
      <c r="C991" s="5" t="s">
        <v>4096</v>
      </c>
      <c r="D991" s="5" t="s">
        <v>4097</v>
      </c>
      <c r="E991" s="6" t="s">
        <v>4098</v>
      </c>
      <c r="F991" s="10"/>
      <c r="G991" s="11" t="s">
        <v>4099</v>
      </c>
      <c r="H991" s="12">
        <v>50</v>
      </c>
      <c r="I991" s="13" t="s">
        <v>41</v>
      </c>
      <c r="J991" s="13"/>
      <c r="K991" s="13"/>
      <c r="L991" s="4">
        <v>10</v>
      </c>
      <c r="M991" s="14">
        <f>69.3*(1-P3/100)</f>
        <v>69.3</v>
      </c>
      <c r="N991" s="15"/>
      <c r="O991" s="13">
        <f>M991*N991</f>
        <v>0</v>
      </c>
      <c r="P991" s="32">
        <f>0.03*N991</f>
        <v>0</v>
      </c>
      <c r="Q991" s="23">
        <f>0.00004*N991</f>
        <v>0</v>
      </c>
      <c r="R991" s="24"/>
      <c r="S991" s="25" t="s">
        <v>4100</v>
      </c>
      <c r="T991" s="25" t="s">
        <v>43</v>
      </c>
      <c r="U991" s="5" t="s">
        <v>4101</v>
      </c>
      <c r="V991" s="5"/>
      <c r="W991" s="5" t="s">
        <v>46</v>
      </c>
      <c r="X991" s="5"/>
      <c r="Y991" s="5"/>
      <c r="Z991" s="5" t="str">
        <f>HYPERLINK("https://knigipp.ru/api/getInfo/image/42aba1bd-7a9d-11eb-a274-ac1f6b442184")</f>
        <v>https://knigipp.ru/api/getInfo/image/42aba1bd-7a9d-11eb-a274-ac1f6b442184</v>
      </c>
      <c r="AA991" s="33">
        <v>16</v>
      </c>
      <c r="AB991" s="5"/>
      <c r="AC991" s="5" t="s">
        <v>96</v>
      </c>
      <c r="AD991" s="5"/>
      <c r="AE991" s="5" t="s">
        <v>49</v>
      </c>
      <c r="AF991" s="5"/>
      <c r="AG991" s="5"/>
      <c r="AH991" s="5" t="s">
        <v>685</v>
      </c>
    </row>
    <row r="992" spans="2:34" ht="22.95" customHeight="1" outlineLevel="3" x14ac:dyDescent="0.2">
      <c r="B992" s="74" t="s">
        <v>4102</v>
      </c>
      <c r="C992" s="74"/>
      <c r="D992" s="74"/>
    </row>
    <row r="993" spans="2:34" ht="21" customHeight="1" outlineLevel="4" x14ac:dyDescent="0.2">
      <c r="B993" s="4">
        <v>750</v>
      </c>
      <c r="C993" s="5" t="s">
        <v>4103</v>
      </c>
      <c r="D993" s="5" t="s">
        <v>4104</v>
      </c>
      <c r="E993" s="6" t="s">
        <v>4105</v>
      </c>
      <c r="F993" s="10"/>
      <c r="G993" s="11" t="s">
        <v>4106</v>
      </c>
      <c r="H993" s="12">
        <v>30</v>
      </c>
      <c r="I993" s="13" t="s">
        <v>41</v>
      </c>
      <c r="J993" s="13"/>
      <c r="K993" s="13"/>
      <c r="L993" s="4">
        <v>3</v>
      </c>
      <c r="M993" s="14">
        <f>197*(1-P3/100)</f>
        <v>197</v>
      </c>
      <c r="N993" s="15"/>
      <c r="O993" s="13">
        <f>M993*N993</f>
        <v>0</v>
      </c>
      <c r="P993" s="22">
        <f>0.065*N993</f>
        <v>0</v>
      </c>
      <c r="Q993" s="23">
        <f>0.00022*N993</f>
        <v>0</v>
      </c>
      <c r="R993" s="24"/>
      <c r="S993" s="25" t="s">
        <v>4107</v>
      </c>
      <c r="T993" s="25" t="s">
        <v>43</v>
      </c>
      <c r="U993" s="5"/>
      <c r="V993" s="5" t="s">
        <v>4108</v>
      </c>
      <c r="W993" s="5" t="s">
        <v>46</v>
      </c>
      <c r="X993" s="5"/>
      <c r="Y993" s="5"/>
      <c r="Z993" s="5" t="str">
        <f>HYPERLINK("https://knigipp.ru/api/getInfo/image/5eaca69d-6e17-11f0-a284-00155d82e908")</f>
        <v>https://knigipp.ru/api/getInfo/image/5eaca69d-6e17-11f0-a284-00155d82e908</v>
      </c>
      <c r="AA993" s="33">
        <v>16</v>
      </c>
      <c r="AB993" s="5"/>
      <c r="AC993" s="5" t="s">
        <v>96</v>
      </c>
      <c r="AD993" s="5"/>
      <c r="AE993" s="5" t="s">
        <v>49</v>
      </c>
      <c r="AF993" s="5"/>
      <c r="AG993" s="5"/>
      <c r="AH993" s="5" t="s">
        <v>4109</v>
      </c>
    </row>
    <row r="994" spans="2:34" ht="21" customHeight="1" outlineLevel="4" x14ac:dyDescent="0.2">
      <c r="B994" s="4">
        <v>751</v>
      </c>
      <c r="C994" s="5" t="s">
        <v>4110</v>
      </c>
      <c r="D994" s="5" t="s">
        <v>4111</v>
      </c>
      <c r="E994" s="6" t="s">
        <v>4112</v>
      </c>
      <c r="F994" s="10"/>
      <c r="G994" s="11" t="s">
        <v>4106</v>
      </c>
      <c r="H994" s="12">
        <v>30</v>
      </c>
      <c r="I994" s="13" t="s">
        <v>41</v>
      </c>
      <c r="J994" s="13"/>
      <c r="K994" s="13"/>
      <c r="L994" s="4">
        <v>3</v>
      </c>
      <c r="M994" s="14">
        <f>197*(1-P3/100)</f>
        <v>197</v>
      </c>
      <c r="N994" s="15"/>
      <c r="O994" s="13">
        <f>M994*N994</f>
        <v>0</v>
      </c>
      <c r="P994" s="22">
        <f>0.065*N994</f>
        <v>0</v>
      </c>
      <c r="Q994" s="23">
        <f>0.00022*N994</f>
        <v>0</v>
      </c>
      <c r="R994" s="24"/>
      <c r="S994" s="25" t="s">
        <v>4113</v>
      </c>
      <c r="T994" s="25" t="s">
        <v>43</v>
      </c>
      <c r="U994" s="5"/>
      <c r="V994" s="5" t="s">
        <v>4114</v>
      </c>
      <c r="W994" s="5" t="s">
        <v>46</v>
      </c>
      <c r="X994" s="5"/>
      <c r="Y994" s="5"/>
      <c r="Z994" s="5" t="str">
        <f>HYPERLINK("https://knigipp.ru/api/getInfo/image/ec5a3e90-6e16-11f0-a284-00155d82e908")</f>
        <v>https://knigipp.ru/api/getInfo/image/ec5a3e90-6e16-11f0-a284-00155d82e908</v>
      </c>
      <c r="AA994" s="33">
        <v>16</v>
      </c>
      <c r="AB994" s="5"/>
      <c r="AC994" s="5" t="s">
        <v>96</v>
      </c>
      <c r="AD994" s="5"/>
      <c r="AE994" s="5" t="s">
        <v>49</v>
      </c>
      <c r="AF994" s="5"/>
      <c r="AG994" s="5"/>
      <c r="AH994" s="5" t="s">
        <v>4109</v>
      </c>
    </row>
    <row r="995" spans="2:34" ht="21" customHeight="1" outlineLevel="4" x14ac:dyDescent="0.2">
      <c r="B995" s="4">
        <v>752</v>
      </c>
      <c r="C995" s="5" t="s">
        <v>4115</v>
      </c>
      <c r="D995" s="5" t="s">
        <v>4116</v>
      </c>
      <c r="E995" s="6" t="s">
        <v>4117</v>
      </c>
      <c r="F995" s="10"/>
      <c r="G995" s="11" t="s">
        <v>4106</v>
      </c>
      <c r="H995" s="12">
        <v>30</v>
      </c>
      <c r="I995" s="13" t="s">
        <v>41</v>
      </c>
      <c r="J995" s="13"/>
      <c r="K995" s="13"/>
      <c r="L995" s="4">
        <v>3</v>
      </c>
      <c r="M995" s="14">
        <f>197*(1-P3/100)</f>
        <v>197</v>
      </c>
      <c r="N995" s="15"/>
      <c r="O995" s="13">
        <f>M995*N995</f>
        <v>0</v>
      </c>
      <c r="P995" s="22">
        <f>0.065*N995</f>
        <v>0</v>
      </c>
      <c r="Q995" s="23">
        <f>0.00022*N995</f>
        <v>0</v>
      </c>
      <c r="R995" s="24"/>
      <c r="S995" s="25" t="s">
        <v>4118</v>
      </c>
      <c r="T995" s="25" t="s">
        <v>43</v>
      </c>
      <c r="U995" s="5"/>
      <c r="V995" s="5" t="s">
        <v>4119</v>
      </c>
      <c r="W995" s="5" t="s">
        <v>46</v>
      </c>
      <c r="X995" s="5"/>
      <c r="Y995" s="5"/>
      <c r="Z995" s="5" t="str">
        <f>HYPERLINK("https://knigipp.ru/api/getInfo/image/b5665fdc-6e16-11f0-a284-00155d82e908")</f>
        <v>https://knigipp.ru/api/getInfo/image/b5665fdc-6e16-11f0-a284-00155d82e908</v>
      </c>
      <c r="AA995" s="33">
        <v>16</v>
      </c>
      <c r="AB995" s="5"/>
      <c r="AC995" s="5" t="s">
        <v>96</v>
      </c>
      <c r="AD995" s="5"/>
      <c r="AE995" s="5" t="s">
        <v>49</v>
      </c>
      <c r="AF995" s="5"/>
      <c r="AG995" s="5"/>
      <c r="AH995" s="5" t="s">
        <v>4109</v>
      </c>
    </row>
    <row r="996" spans="2:34" ht="21" customHeight="1" outlineLevel="4" x14ac:dyDescent="0.2">
      <c r="B996" s="4">
        <v>753</v>
      </c>
      <c r="C996" s="5" t="s">
        <v>4120</v>
      </c>
      <c r="D996" s="5" t="s">
        <v>4121</v>
      </c>
      <c r="E996" s="6" t="s">
        <v>4122</v>
      </c>
      <c r="F996" s="10"/>
      <c r="G996" s="11" t="s">
        <v>4106</v>
      </c>
      <c r="H996" s="12">
        <v>30</v>
      </c>
      <c r="I996" s="13" t="s">
        <v>41</v>
      </c>
      <c r="J996" s="13"/>
      <c r="K996" s="13"/>
      <c r="L996" s="4">
        <v>3</v>
      </c>
      <c r="M996" s="14">
        <f>197*(1-P3/100)</f>
        <v>197</v>
      </c>
      <c r="N996" s="15"/>
      <c r="O996" s="13">
        <f>M996*N996</f>
        <v>0</v>
      </c>
      <c r="P996" s="22">
        <f>0.091*N996</f>
        <v>0</v>
      </c>
      <c r="Q996" s="23">
        <f>0.00028*N996</f>
        <v>0</v>
      </c>
      <c r="R996" s="24"/>
      <c r="S996" s="25" t="s">
        <v>4123</v>
      </c>
      <c r="T996" s="25" t="s">
        <v>43</v>
      </c>
      <c r="U996" s="5"/>
      <c r="V996" s="5" t="s">
        <v>4124</v>
      </c>
      <c r="W996" s="5" t="s">
        <v>46</v>
      </c>
      <c r="X996" s="5"/>
      <c r="Y996" s="5"/>
      <c r="Z996" s="5" t="str">
        <f>HYPERLINK("https://knigipp.ru/api/getInfo/image/1d79c367-6e17-11f0-a284-00155d82e908")</f>
        <v>https://knigipp.ru/api/getInfo/image/1d79c367-6e17-11f0-a284-00155d82e908</v>
      </c>
      <c r="AA996" s="33">
        <v>16</v>
      </c>
      <c r="AB996" s="5"/>
      <c r="AC996" s="5" t="s">
        <v>96</v>
      </c>
      <c r="AD996" s="5"/>
      <c r="AE996" s="5" t="s">
        <v>49</v>
      </c>
      <c r="AF996" s="5"/>
      <c r="AG996" s="5"/>
      <c r="AH996" s="5" t="s">
        <v>4109</v>
      </c>
    </row>
    <row r="997" spans="2:34" ht="22.95" customHeight="1" outlineLevel="2" x14ac:dyDescent="0.2">
      <c r="B997" s="73" t="s">
        <v>4125</v>
      </c>
      <c r="C997" s="73"/>
      <c r="D997" s="73"/>
    </row>
    <row r="998" spans="2:34" ht="22.95" customHeight="1" outlineLevel="3" x14ac:dyDescent="0.2">
      <c r="B998" s="74" t="s">
        <v>4126</v>
      </c>
      <c r="C998" s="74"/>
      <c r="D998" s="74"/>
    </row>
    <row r="999" spans="2:34" ht="21" customHeight="1" outlineLevel="4" x14ac:dyDescent="0.2">
      <c r="B999" s="4">
        <v>754</v>
      </c>
      <c r="C999" s="5" t="s">
        <v>4127</v>
      </c>
      <c r="D999" s="5" t="s">
        <v>4128</v>
      </c>
      <c r="E999" s="6" t="s">
        <v>4129</v>
      </c>
      <c r="F999" s="10"/>
      <c r="G999" s="11" t="s">
        <v>4130</v>
      </c>
      <c r="H999" s="12">
        <v>30</v>
      </c>
      <c r="I999" s="13" t="s">
        <v>41</v>
      </c>
      <c r="J999" s="13"/>
      <c r="K999" s="13"/>
      <c r="L999" s="4">
        <v>6</v>
      </c>
      <c r="M999" s="14">
        <f>97*(1-P3/100)</f>
        <v>97</v>
      </c>
      <c r="N999" s="15"/>
      <c r="O999" s="13">
        <f>M999*N999</f>
        <v>0</v>
      </c>
      <c r="P999" s="22">
        <f>0.053*N999</f>
        <v>0</v>
      </c>
      <c r="Q999" s="23">
        <f>0.00039*N999</f>
        <v>0</v>
      </c>
      <c r="R999" s="24"/>
      <c r="S999" s="25" t="s">
        <v>4131</v>
      </c>
      <c r="T999" s="25" t="s">
        <v>43</v>
      </c>
      <c r="U999" s="5"/>
      <c r="V999" s="5" t="s">
        <v>4132</v>
      </c>
      <c r="W999" s="5" t="s">
        <v>46</v>
      </c>
      <c r="X999" s="5"/>
      <c r="Y999" s="5"/>
      <c r="Z999" s="5" t="str">
        <f>HYPERLINK("https://knigipp.ru/api/getInfo/image/483cb40f-3d5c-11f0-a27c-00155d82e908")</f>
        <v>https://knigipp.ru/api/getInfo/image/483cb40f-3d5c-11f0-a27c-00155d82e908</v>
      </c>
      <c r="AA999" s="33">
        <v>8</v>
      </c>
      <c r="AB999" s="5"/>
      <c r="AC999" s="5" t="s">
        <v>96</v>
      </c>
      <c r="AD999" s="5"/>
      <c r="AE999" s="5" t="s">
        <v>49</v>
      </c>
      <c r="AF999" s="5"/>
      <c r="AG999" s="5"/>
      <c r="AH999" s="5" t="s">
        <v>4133</v>
      </c>
    </row>
    <row r="1000" spans="2:34" ht="21" customHeight="1" outlineLevel="4" x14ac:dyDescent="0.2">
      <c r="B1000" s="4">
        <v>755</v>
      </c>
      <c r="C1000" s="5" t="s">
        <v>4134</v>
      </c>
      <c r="D1000" s="5" t="s">
        <v>4135</v>
      </c>
      <c r="E1000" s="6" t="s">
        <v>4136</v>
      </c>
      <c r="F1000" s="10"/>
      <c r="G1000" s="11" t="s">
        <v>4130</v>
      </c>
      <c r="H1000" s="12">
        <v>30</v>
      </c>
      <c r="I1000" s="13" t="s">
        <v>41</v>
      </c>
      <c r="J1000" s="13"/>
      <c r="K1000" s="13"/>
      <c r="L1000" s="4">
        <v>6</v>
      </c>
      <c r="M1000" s="14">
        <f>97*(1-P3/100)</f>
        <v>97</v>
      </c>
      <c r="N1000" s="15"/>
      <c r="O1000" s="13">
        <f>M1000*N1000</f>
        <v>0</v>
      </c>
      <c r="P1000" s="22">
        <f>0.051*N1000</f>
        <v>0</v>
      </c>
      <c r="Q1000" s="23">
        <f>0.00017*N1000</f>
        <v>0</v>
      </c>
      <c r="R1000" s="24"/>
      <c r="S1000" s="25" t="s">
        <v>4137</v>
      </c>
      <c r="T1000" s="25" t="s">
        <v>43</v>
      </c>
      <c r="U1000" s="5"/>
      <c r="V1000" s="5" t="s">
        <v>4138</v>
      </c>
      <c r="W1000" s="5" t="s">
        <v>46</v>
      </c>
      <c r="X1000" s="5"/>
      <c r="Y1000" s="5"/>
      <c r="Z1000" s="5" t="str">
        <f>HYPERLINK("https://knigipp.ru/api/getInfo/image/701c49e5-3d5c-11f0-a27c-00155d82e908")</f>
        <v>https://knigipp.ru/api/getInfo/image/701c49e5-3d5c-11f0-a27c-00155d82e908</v>
      </c>
      <c r="AA1000" s="33">
        <v>8</v>
      </c>
      <c r="AB1000" s="5"/>
      <c r="AC1000" s="5" t="s">
        <v>96</v>
      </c>
      <c r="AD1000" s="5"/>
      <c r="AE1000" s="5" t="s">
        <v>49</v>
      </c>
      <c r="AF1000" s="5"/>
      <c r="AG1000" s="5"/>
      <c r="AH1000" s="5" t="s">
        <v>4133</v>
      </c>
    </row>
    <row r="1001" spans="2:34" ht="21" customHeight="1" outlineLevel="4" x14ac:dyDescent="0.2">
      <c r="B1001" s="4">
        <v>756</v>
      </c>
      <c r="C1001" s="5" t="s">
        <v>4139</v>
      </c>
      <c r="D1001" s="5" t="s">
        <v>4140</v>
      </c>
      <c r="E1001" s="6" t="s">
        <v>4141</v>
      </c>
      <c r="F1001" s="10"/>
      <c r="G1001" s="11" t="s">
        <v>4130</v>
      </c>
      <c r="H1001" s="12">
        <v>30</v>
      </c>
      <c r="I1001" s="13" t="s">
        <v>41</v>
      </c>
      <c r="J1001" s="13"/>
      <c r="K1001" s="13"/>
      <c r="L1001" s="4">
        <v>6</v>
      </c>
      <c r="M1001" s="14">
        <f>97*(1-P3/100)</f>
        <v>97</v>
      </c>
      <c r="N1001" s="15"/>
      <c r="O1001" s="13">
        <f>M1001*N1001</f>
        <v>0</v>
      </c>
      <c r="P1001" s="22">
        <f>0.053*N1001</f>
        <v>0</v>
      </c>
      <c r="Q1001" s="23">
        <f>0.00022*N1001</f>
        <v>0</v>
      </c>
      <c r="R1001" s="24"/>
      <c r="S1001" s="25" t="s">
        <v>4142</v>
      </c>
      <c r="T1001" s="25" t="s">
        <v>43</v>
      </c>
      <c r="U1001" s="5"/>
      <c r="V1001" s="5" t="s">
        <v>4143</v>
      </c>
      <c r="W1001" s="5" t="s">
        <v>46</v>
      </c>
      <c r="X1001" s="5"/>
      <c r="Y1001" s="5"/>
      <c r="Z1001" s="5" t="str">
        <f>HYPERLINK("https://knigipp.ru/api/getInfo/image/23615ea1-3d5c-11f0-a27c-00155d82e908")</f>
        <v>https://knigipp.ru/api/getInfo/image/23615ea1-3d5c-11f0-a27c-00155d82e908</v>
      </c>
      <c r="AA1001" s="33">
        <v>8</v>
      </c>
      <c r="AB1001" s="5"/>
      <c r="AC1001" s="5" t="s">
        <v>96</v>
      </c>
      <c r="AD1001" s="5"/>
      <c r="AE1001" s="5" t="s">
        <v>49</v>
      </c>
      <c r="AF1001" s="5"/>
      <c r="AG1001" s="5"/>
      <c r="AH1001" s="5" t="s">
        <v>4133</v>
      </c>
    </row>
    <row r="1002" spans="2:34" ht="21" customHeight="1" outlineLevel="4" x14ac:dyDescent="0.2">
      <c r="B1002" s="4">
        <v>757</v>
      </c>
      <c r="C1002" s="5" t="s">
        <v>4144</v>
      </c>
      <c r="D1002" s="5" t="s">
        <v>4145</v>
      </c>
      <c r="E1002" s="6" t="s">
        <v>4146</v>
      </c>
      <c r="F1002" s="10"/>
      <c r="G1002" s="11" t="s">
        <v>4130</v>
      </c>
      <c r="H1002" s="12">
        <v>30</v>
      </c>
      <c r="I1002" s="13" t="s">
        <v>41</v>
      </c>
      <c r="J1002" s="13"/>
      <c r="K1002" s="13"/>
      <c r="L1002" s="4">
        <v>6</v>
      </c>
      <c r="M1002" s="14">
        <f>97*(1-P3/100)</f>
        <v>97</v>
      </c>
      <c r="N1002" s="15"/>
      <c r="O1002" s="13">
        <f>M1002*N1002</f>
        <v>0</v>
      </c>
      <c r="P1002" s="22">
        <f>0.051*N1002</f>
        <v>0</v>
      </c>
      <c r="Q1002" s="23">
        <f>0.00017*N1002</f>
        <v>0</v>
      </c>
      <c r="R1002" s="24"/>
      <c r="S1002" s="25" t="s">
        <v>4147</v>
      </c>
      <c r="T1002" s="25" t="s">
        <v>43</v>
      </c>
      <c r="U1002" s="5"/>
      <c r="V1002" s="5" t="s">
        <v>4148</v>
      </c>
      <c r="W1002" s="5" t="s">
        <v>46</v>
      </c>
      <c r="X1002" s="5"/>
      <c r="Y1002" s="5"/>
      <c r="Z1002" s="5" t="str">
        <f>HYPERLINK("https://knigipp.ru/api/getInfo/image/ea254fbb-3d5b-11f0-a27c-00155d82e908")</f>
        <v>https://knigipp.ru/api/getInfo/image/ea254fbb-3d5b-11f0-a27c-00155d82e908</v>
      </c>
      <c r="AA1002" s="33">
        <v>8</v>
      </c>
      <c r="AB1002" s="5"/>
      <c r="AC1002" s="5" t="s">
        <v>96</v>
      </c>
      <c r="AD1002" s="5"/>
      <c r="AE1002" s="5" t="s">
        <v>49</v>
      </c>
      <c r="AF1002" s="5"/>
      <c r="AG1002" s="5"/>
      <c r="AH1002" s="5" t="s">
        <v>4133</v>
      </c>
    </row>
    <row r="1003" spans="2:34" ht="22.95" customHeight="1" outlineLevel="3" x14ac:dyDescent="0.2">
      <c r="B1003" s="74" t="s">
        <v>4149</v>
      </c>
      <c r="C1003" s="74"/>
      <c r="D1003" s="74"/>
    </row>
    <row r="1004" spans="2:34" ht="21" customHeight="1" outlineLevel="4" x14ac:dyDescent="0.2">
      <c r="B1004" s="4">
        <v>758</v>
      </c>
      <c r="C1004" s="5" t="s">
        <v>4150</v>
      </c>
      <c r="D1004" s="5" t="s">
        <v>4151</v>
      </c>
      <c r="E1004" s="6" t="s">
        <v>4152</v>
      </c>
      <c r="F1004" s="10"/>
      <c r="G1004" s="11" t="s">
        <v>4153</v>
      </c>
      <c r="H1004" s="12">
        <v>50</v>
      </c>
      <c r="I1004" s="13" t="s">
        <v>371</v>
      </c>
      <c r="J1004" s="13"/>
      <c r="K1004" s="13"/>
      <c r="L1004" s="4">
        <v>8</v>
      </c>
      <c r="M1004" s="14">
        <f>83.9*(1-P3/100)</f>
        <v>83.9</v>
      </c>
      <c r="N1004" s="15"/>
      <c r="O1004" s="13">
        <f>M1004*N1004</f>
        <v>0</v>
      </c>
      <c r="P1004" s="22">
        <f>0.047*N1004</f>
        <v>0</v>
      </c>
      <c r="Q1004" s="23">
        <f>0.00025*N1004</f>
        <v>0</v>
      </c>
      <c r="R1004" s="24"/>
      <c r="S1004" s="25" t="s">
        <v>4154</v>
      </c>
      <c r="T1004" s="25" t="s">
        <v>43</v>
      </c>
      <c r="U1004" s="5"/>
      <c r="V1004" s="5"/>
      <c r="W1004" s="5" t="s">
        <v>46</v>
      </c>
      <c r="X1004" s="5"/>
      <c r="Y1004" s="5"/>
      <c r="Z1004" s="5" t="str">
        <f>HYPERLINK("https://knigipp.ru/api/getInfo/image/961d813b-8337-11ec-a211-ac1f6b442185")</f>
        <v>https://knigipp.ru/api/getInfo/image/961d813b-8337-11ec-a211-ac1f6b442185</v>
      </c>
      <c r="AA1004" s="33">
        <v>10</v>
      </c>
      <c r="AB1004" s="5"/>
      <c r="AC1004" s="5" t="s">
        <v>96</v>
      </c>
      <c r="AD1004" s="5"/>
      <c r="AE1004" s="5" t="s">
        <v>49</v>
      </c>
      <c r="AF1004" s="5"/>
      <c r="AG1004" s="5"/>
      <c r="AH1004" s="5" t="s">
        <v>685</v>
      </c>
    </row>
    <row r="1005" spans="2:34" ht="21" customHeight="1" outlineLevel="4" x14ac:dyDescent="0.2">
      <c r="B1005" s="4">
        <v>759</v>
      </c>
      <c r="C1005" s="5" t="s">
        <v>4155</v>
      </c>
      <c r="D1005" s="5" t="s">
        <v>4156</v>
      </c>
      <c r="E1005" s="6" t="s">
        <v>4157</v>
      </c>
      <c r="F1005" s="10"/>
      <c r="G1005" s="11" t="s">
        <v>4153</v>
      </c>
      <c r="H1005" s="12">
        <v>50</v>
      </c>
      <c r="I1005" s="13" t="s">
        <v>41</v>
      </c>
      <c r="J1005" s="13"/>
      <c r="K1005" s="13"/>
      <c r="L1005" s="4">
        <v>8</v>
      </c>
      <c r="M1005" s="14">
        <f>83.9*(1-P3/100)</f>
        <v>83.9</v>
      </c>
      <c r="N1005" s="15"/>
      <c r="O1005" s="13">
        <f>M1005*N1005</f>
        <v>0</v>
      </c>
      <c r="P1005" s="22">
        <f>0.042*N1005</f>
        <v>0</v>
      </c>
      <c r="Q1005" s="23">
        <f>0.00012*N1005</f>
        <v>0</v>
      </c>
      <c r="R1005" s="24"/>
      <c r="S1005" s="25" t="s">
        <v>4158</v>
      </c>
      <c r="T1005" s="25" t="s">
        <v>43</v>
      </c>
      <c r="U1005" s="5"/>
      <c r="V1005" s="5"/>
      <c r="W1005" s="5" t="s">
        <v>46</v>
      </c>
      <c r="X1005" s="5"/>
      <c r="Y1005" s="5"/>
      <c r="Z1005" s="5" t="str">
        <f>HYPERLINK("https://knigipp.ru/api/getInfo/image/ecc8d3af-8338-11ec-a211-ac1f6b442185")</f>
        <v>https://knigipp.ru/api/getInfo/image/ecc8d3af-8338-11ec-a211-ac1f6b442185</v>
      </c>
      <c r="AA1005" s="33">
        <v>10</v>
      </c>
      <c r="AB1005" s="5"/>
      <c r="AC1005" s="5" t="s">
        <v>96</v>
      </c>
      <c r="AD1005" s="5"/>
      <c r="AE1005" s="5" t="s">
        <v>49</v>
      </c>
      <c r="AF1005" s="5"/>
      <c r="AG1005" s="5"/>
      <c r="AH1005" s="5" t="s">
        <v>685</v>
      </c>
    </row>
    <row r="1006" spans="2:34" ht="22.95" customHeight="1" outlineLevel="3" x14ac:dyDescent="0.2">
      <c r="B1006" s="74" t="s">
        <v>4159</v>
      </c>
      <c r="C1006" s="74"/>
      <c r="D1006" s="74"/>
    </row>
    <row r="1007" spans="2:34" ht="21" customHeight="1" outlineLevel="4" x14ac:dyDescent="0.2">
      <c r="B1007" s="4">
        <v>760</v>
      </c>
      <c r="C1007" s="5" t="s">
        <v>4160</v>
      </c>
      <c r="D1007" s="5" t="s">
        <v>4161</v>
      </c>
      <c r="E1007" s="6" t="s">
        <v>4162</v>
      </c>
      <c r="F1007" s="10"/>
      <c r="G1007" s="11" t="s">
        <v>4163</v>
      </c>
      <c r="H1007" s="12">
        <v>50</v>
      </c>
      <c r="I1007" s="13" t="s">
        <v>41</v>
      </c>
      <c r="J1007" s="13"/>
      <c r="K1007" s="13"/>
      <c r="L1007" s="4">
        <v>6</v>
      </c>
      <c r="M1007" s="14">
        <f>117*(1-P3/100)</f>
        <v>117</v>
      </c>
      <c r="N1007" s="15"/>
      <c r="O1007" s="13">
        <f>M1007*N1007</f>
        <v>0</v>
      </c>
      <c r="P1007" s="22">
        <f>0.062*N1007</f>
        <v>0</v>
      </c>
      <c r="Q1007" s="23">
        <f>0.00004*N1007</f>
        <v>0</v>
      </c>
      <c r="R1007" s="24"/>
      <c r="S1007" s="25" t="s">
        <v>4164</v>
      </c>
      <c r="T1007" s="25" t="s">
        <v>43</v>
      </c>
      <c r="U1007" s="5"/>
      <c r="V1007" s="5"/>
      <c r="W1007" s="5" t="s">
        <v>46</v>
      </c>
      <c r="X1007" s="5"/>
      <c r="Y1007" s="5"/>
      <c r="Z1007" s="5" t="str">
        <f>HYPERLINK("https://knigipp.ru/api/getInfo/image/bff74d2a-f384-11eb-a20d-ac1f6b442185")</f>
        <v>https://knigipp.ru/api/getInfo/image/bff74d2a-f384-11eb-a20d-ac1f6b442185</v>
      </c>
      <c r="AA1007" s="33">
        <v>12</v>
      </c>
      <c r="AB1007" s="5"/>
      <c r="AC1007" s="5" t="s">
        <v>96</v>
      </c>
      <c r="AD1007" s="5"/>
      <c r="AE1007" s="5" t="s">
        <v>49</v>
      </c>
      <c r="AF1007" s="5"/>
      <c r="AG1007" s="5"/>
      <c r="AH1007" s="5" t="s">
        <v>4165</v>
      </c>
    </row>
    <row r="1008" spans="2:34" ht="21" customHeight="1" outlineLevel="4" x14ac:dyDescent="0.2">
      <c r="B1008" s="4">
        <v>761</v>
      </c>
      <c r="C1008" s="5" t="s">
        <v>4166</v>
      </c>
      <c r="D1008" s="5" t="s">
        <v>4167</v>
      </c>
      <c r="E1008" s="6" t="s">
        <v>4168</v>
      </c>
      <c r="F1008" s="10"/>
      <c r="G1008" s="11" t="s">
        <v>4163</v>
      </c>
      <c r="H1008" s="12">
        <v>50</v>
      </c>
      <c r="I1008" s="13" t="s">
        <v>41</v>
      </c>
      <c r="J1008" s="13"/>
      <c r="K1008" s="13"/>
      <c r="L1008" s="4">
        <v>6</v>
      </c>
      <c r="M1008" s="14">
        <f>117*(1-P3/100)</f>
        <v>117</v>
      </c>
      <c r="N1008" s="15"/>
      <c r="O1008" s="13">
        <f>M1008*N1008</f>
        <v>0</v>
      </c>
      <c r="P1008" s="22">
        <f>0.056*N1008</f>
        <v>0</v>
      </c>
      <c r="Q1008" s="23">
        <f>0.00004*N1008</f>
        <v>0</v>
      </c>
      <c r="R1008" s="24"/>
      <c r="S1008" s="25" t="s">
        <v>4169</v>
      </c>
      <c r="T1008" s="25" t="s">
        <v>43</v>
      </c>
      <c r="U1008" s="5"/>
      <c r="V1008" s="5"/>
      <c r="W1008" s="5" t="s">
        <v>46</v>
      </c>
      <c r="X1008" s="5"/>
      <c r="Y1008" s="5"/>
      <c r="Z1008" s="5" t="str">
        <f>HYPERLINK("https://knigipp.ru/api/getInfo/image/0c3af06f-f385-11eb-a20d-ac1f6b442185")</f>
        <v>https://knigipp.ru/api/getInfo/image/0c3af06f-f385-11eb-a20d-ac1f6b442185</v>
      </c>
      <c r="AA1008" s="33">
        <v>12</v>
      </c>
      <c r="AB1008" s="5"/>
      <c r="AC1008" s="5" t="s">
        <v>96</v>
      </c>
      <c r="AD1008" s="5"/>
      <c r="AE1008" s="5" t="s">
        <v>49</v>
      </c>
      <c r="AF1008" s="5"/>
      <c r="AG1008" s="5"/>
      <c r="AH1008" s="5" t="s">
        <v>4165</v>
      </c>
    </row>
    <row r="1009" spans="2:34" ht="21" customHeight="1" outlineLevel="4" x14ac:dyDescent="0.2">
      <c r="B1009" s="4">
        <v>762</v>
      </c>
      <c r="C1009" s="5" t="s">
        <v>4170</v>
      </c>
      <c r="D1009" s="5" t="s">
        <v>4171</v>
      </c>
      <c r="E1009" s="6" t="s">
        <v>4172</v>
      </c>
      <c r="F1009" s="10"/>
      <c r="G1009" s="11" t="s">
        <v>4163</v>
      </c>
      <c r="H1009" s="12">
        <v>50</v>
      </c>
      <c r="I1009" s="13" t="s">
        <v>41</v>
      </c>
      <c r="J1009" s="13"/>
      <c r="K1009" s="13"/>
      <c r="L1009" s="4">
        <v>6</v>
      </c>
      <c r="M1009" s="14">
        <f>117*(1-P3/100)</f>
        <v>117</v>
      </c>
      <c r="N1009" s="15"/>
      <c r="O1009" s="13">
        <f>M1009*N1009</f>
        <v>0</v>
      </c>
      <c r="P1009" s="22">
        <f>0.057*N1009</f>
        <v>0</v>
      </c>
      <c r="Q1009" s="23">
        <f>0.00027*N1009</f>
        <v>0</v>
      </c>
      <c r="R1009" s="24"/>
      <c r="S1009" s="25" t="s">
        <v>4173</v>
      </c>
      <c r="T1009" s="25" t="s">
        <v>43</v>
      </c>
      <c r="U1009" s="5"/>
      <c r="V1009" s="5" t="s">
        <v>4174</v>
      </c>
      <c r="W1009" s="5" t="s">
        <v>46</v>
      </c>
      <c r="X1009" s="5"/>
      <c r="Y1009" s="5"/>
      <c r="Z1009" s="5" t="str">
        <f>HYPERLINK("https://knigipp.ru/api/getInfo/image/d64adc26-2bb9-11ee-a23d-00155d82e902")</f>
        <v>https://knigipp.ru/api/getInfo/image/d64adc26-2bb9-11ee-a23d-00155d82e902</v>
      </c>
      <c r="AA1009" s="33">
        <v>12</v>
      </c>
      <c r="AB1009" s="5" t="s">
        <v>47</v>
      </c>
      <c r="AC1009" s="5" t="s">
        <v>96</v>
      </c>
      <c r="AD1009" s="5"/>
      <c r="AE1009" s="5" t="s">
        <v>49</v>
      </c>
      <c r="AF1009" s="5"/>
      <c r="AG1009" s="5"/>
      <c r="AH1009" s="5" t="s">
        <v>4165</v>
      </c>
    </row>
    <row r="1010" spans="2:34" ht="21" customHeight="1" outlineLevel="4" x14ac:dyDescent="0.2">
      <c r="B1010" s="4">
        <v>763</v>
      </c>
      <c r="C1010" s="5" t="s">
        <v>4175</v>
      </c>
      <c r="D1010" s="5" t="s">
        <v>4176</v>
      </c>
      <c r="E1010" s="6" t="s">
        <v>4177</v>
      </c>
      <c r="F1010" s="10"/>
      <c r="G1010" s="11" t="s">
        <v>4163</v>
      </c>
      <c r="H1010" s="12">
        <v>50</v>
      </c>
      <c r="I1010" s="13" t="s">
        <v>41</v>
      </c>
      <c r="J1010" s="13"/>
      <c r="K1010" s="13"/>
      <c r="L1010" s="4">
        <v>6</v>
      </c>
      <c r="M1010" s="14">
        <f>117*(1-P3/100)</f>
        <v>117</v>
      </c>
      <c r="N1010" s="15"/>
      <c r="O1010" s="13">
        <f>M1010*N1010</f>
        <v>0</v>
      </c>
      <c r="P1010" s="22">
        <f>0.062*N1010</f>
        <v>0</v>
      </c>
      <c r="Q1010" s="23">
        <f>0.00004*N1010</f>
        <v>0</v>
      </c>
      <c r="R1010" s="24"/>
      <c r="S1010" s="25" t="s">
        <v>4178</v>
      </c>
      <c r="T1010" s="25" t="s">
        <v>43</v>
      </c>
      <c r="U1010" s="5"/>
      <c r="V1010" s="5"/>
      <c r="W1010" s="5" t="s">
        <v>46</v>
      </c>
      <c r="X1010" s="5"/>
      <c r="Y1010" s="5"/>
      <c r="Z1010" s="5" t="str">
        <f>HYPERLINK("https://knigipp.ru/api/getInfo/image/33b41d44-f385-11eb-a20d-ac1f6b442185")</f>
        <v>https://knigipp.ru/api/getInfo/image/33b41d44-f385-11eb-a20d-ac1f6b442185</v>
      </c>
      <c r="AA1010" s="33">
        <v>12</v>
      </c>
      <c r="AB1010" s="5"/>
      <c r="AC1010" s="5" t="s">
        <v>96</v>
      </c>
      <c r="AD1010" s="5"/>
      <c r="AE1010" s="5" t="s">
        <v>49</v>
      </c>
      <c r="AF1010" s="5"/>
      <c r="AG1010" s="5"/>
      <c r="AH1010" s="5" t="s">
        <v>4165</v>
      </c>
    </row>
    <row r="1011" spans="2:34" ht="22.95" customHeight="1" outlineLevel="3" x14ac:dyDescent="0.2">
      <c r="B1011" s="74" t="s">
        <v>4179</v>
      </c>
      <c r="C1011" s="74"/>
      <c r="D1011" s="74"/>
    </row>
    <row r="1012" spans="2:34" ht="21" customHeight="1" outlineLevel="4" x14ac:dyDescent="0.2">
      <c r="B1012" s="4">
        <v>764</v>
      </c>
      <c r="C1012" s="5" t="s">
        <v>4180</v>
      </c>
      <c r="D1012" s="5" t="s">
        <v>4181</v>
      </c>
      <c r="E1012" s="6" t="s">
        <v>4182</v>
      </c>
      <c r="F1012" s="10"/>
      <c r="G1012" s="11" t="s">
        <v>4183</v>
      </c>
      <c r="H1012" s="12">
        <v>50</v>
      </c>
      <c r="I1012" s="13" t="s">
        <v>41</v>
      </c>
      <c r="J1012" s="13"/>
      <c r="K1012" s="13"/>
      <c r="L1012" s="4">
        <v>7</v>
      </c>
      <c r="M1012" s="14">
        <f>97*(1-P3/100)</f>
        <v>97</v>
      </c>
      <c r="N1012" s="15"/>
      <c r="O1012" s="13">
        <f>M1012*N1012</f>
        <v>0</v>
      </c>
      <c r="P1012" s="22">
        <f>0.078*N1012</f>
        <v>0</v>
      </c>
      <c r="Q1012" s="23">
        <f>0.00004*N1012</f>
        <v>0</v>
      </c>
      <c r="R1012" s="24"/>
      <c r="S1012" s="25" t="s">
        <v>4184</v>
      </c>
      <c r="T1012" s="25" t="s">
        <v>94</v>
      </c>
      <c r="U1012" s="5"/>
      <c r="V1012" s="5"/>
      <c r="W1012" s="5" t="s">
        <v>46</v>
      </c>
      <c r="X1012" s="5"/>
      <c r="Y1012" s="5"/>
      <c r="Z1012" s="5" t="str">
        <f>HYPERLINK("https://knigipp.ru/api/getInfo/image/67182336-922d-11eb-a233-0cc47a2bbb49")</f>
        <v>https://knigipp.ru/api/getInfo/image/67182336-922d-11eb-a233-0cc47a2bbb49</v>
      </c>
      <c r="AA1012" s="33">
        <v>8</v>
      </c>
      <c r="AB1012" s="5"/>
      <c r="AC1012" s="5" t="s">
        <v>96</v>
      </c>
      <c r="AD1012" s="5"/>
      <c r="AE1012" s="5" t="s">
        <v>49</v>
      </c>
      <c r="AF1012" s="5"/>
      <c r="AG1012" s="5"/>
      <c r="AH1012" s="5" t="s">
        <v>472</v>
      </c>
    </row>
    <row r="1013" spans="2:34" ht="21" customHeight="1" outlineLevel="4" x14ac:dyDescent="0.2">
      <c r="B1013" s="4">
        <v>765</v>
      </c>
      <c r="C1013" s="5" t="s">
        <v>4185</v>
      </c>
      <c r="D1013" s="5" t="s">
        <v>4186</v>
      </c>
      <c r="E1013" s="6" t="s">
        <v>4187</v>
      </c>
      <c r="F1013" s="10"/>
      <c r="G1013" s="11" t="s">
        <v>4183</v>
      </c>
      <c r="H1013" s="12">
        <v>50</v>
      </c>
      <c r="I1013" s="13" t="s">
        <v>41</v>
      </c>
      <c r="J1013" s="13"/>
      <c r="K1013" s="13"/>
      <c r="L1013" s="4">
        <v>7</v>
      </c>
      <c r="M1013" s="14">
        <f>97*(1-P3/100)</f>
        <v>97</v>
      </c>
      <c r="N1013" s="15"/>
      <c r="O1013" s="13">
        <f>M1013*N1013</f>
        <v>0</v>
      </c>
      <c r="P1013" s="22">
        <f>0.078*N1013</f>
        <v>0</v>
      </c>
      <c r="Q1013" s="23">
        <f>0.00004*N1013</f>
        <v>0</v>
      </c>
      <c r="R1013" s="24"/>
      <c r="S1013" s="25" t="s">
        <v>4188</v>
      </c>
      <c r="T1013" s="25" t="s">
        <v>94</v>
      </c>
      <c r="U1013" s="5"/>
      <c r="V1013" s="5"/>
      <c r="W1013" s="5" t="s">
        <v>46</v>
      </c>
      <c r="X1013" s="5"/>
      <c r="Y1013" s="5"/>
      <c r="Z1013" s="5" t="str">
        <f>HYPERLINK("https://knigipp.ru/api/getInfo/image/38a3b8b8-922d-11eb-a233-0cc47a2bbb49")</f>
        <v>https://knigipp.ru/api/getInfo/image/38a3b8b8-922d-11eb-a233-0cc47a2bbb49</v>
      </c>
      <c r="AA1013" s="33">
        <v>8</v>
      </c>
      <c r="AB1013" s="5"/>
      <c r="AC1013" s="5" t="s">
        <v>96</v>
      </c>
      <c r="AD1013" s="5"/>
      <c r="AE1013" s="5" t="s">
        <v>49</v>
      </c>
      <c r="AF1013" s="5"/>
      <c r="AG1013" s="5"/>
      <c r="AH1013" s="5" t="s">
        <v>472</v>
      </c>
    </row>
    <row r="1014" spans="2:34" ht="21" customHeight="1" outlineLevel="4" x14ac:dyDescent="0.2">
      <c r="B1014" s="4">
        <v>766</v>
      </c>
      <c r="C1014" s="5" t="s">
        <v>4189</v>
      </c>
      <c r="D1014" s="5" t="s">
        <v>4190</v>
      </c>
      <c r="E1014" s="6" t="s">
        <v>4191</v>
      </c>
      <c r="F1014" s="10"/>
      <c r="G1014" s="11" t="s">
        <v>4183</v>
      </c>
      <c r="H1014" s="12">
        <v>50</v>
      </c>
      <c r="I1014" s="13" t="s">
        <v>41</v>
      </c>
      <c r="J1014" s="13"/>
      <c r="K1014" s="13"/>
      <c r="L1014" s="4">
        <v>7</v>
      </c>
      <c r="M1014" s="14">
        <f>97*(1-P3/100)</f>
        <v>97</v>
      </c>
      <c r="N1014" s="15"/>
      <c r="O1014" s="13">
        <f>M1014*N1014</f>
        <v>0</v>
      </c>
      <c r="P1014" s="22">
        <f>0.078*N1014</f>
        <v>0</v>
      </c>
      <c r="Q1014" s="23">
        <f>0.00004*N1014</f>
        <v>0</v>
      </c>
      <c r="R1014" s="24"/>
      <c r="S1014" s="25" t="s">
        <v>4192</v>
      </c>
      <c r="T1014" s="25" t="s">
        <v>94</v>
      </c>
      <c r="U1014" s="5"/>
      <c r="V1014" s="5"/>
      <c r="W1014" s="5" t="s">
        <v>46</v>
      </c>
      <c r="X1014" s="5"/>
      <c r="Y1014" s="5"/>
      <c r="Z1014" s="5" t="str">
        <f>HYPERLINK("https://knigipp.ru/api/getInfo/image/a24de081-922c-11eb-a233-0cc47a2bbb49")</f>
        <v>https://knigipp.ru/api/getInfo/image/a24de081-922c-11eb-a233-0cc47a2bbb49</v>
      </c>
      <c r="AA1014" s="33">
        <v>8</v>
      </c>
      <c r="AB1014" s="5"/>
      <c r="AC1014" s="5" t="s">
        <v>96</v>
      </c>
      <c r="AD1014" s="5"/>
      <c r="AE1014" s="5" t="s">
        <v>49</v>
      </c>
      <c r="AF1014" s="5"/>
      <c r="AG1014" s="5"/>
      <c r="AH1014" s="5" t="s">
        <v>472</v>
      </c>
    </row>
    <row r="1015" spans="2:34" ht="21" customHeight="1" outlineLevel="4" x14ac:dyDescent="0.2">
      <c r="B1015" s="4">
        <v>767</v>
      </c>
      <c r="C1015" s="5" t="s">
        <v>4193</v>
      </c>
      <c r="D1015" s="5" t="s">
        <v>4194</v>
      </c>
      <c r="E1015" s="6" t="s">
        <v>4195</v>
      </c>
      <c r="F1015" s="10"/>
      <c r="G1015" s="11" t="s">
        <v>4183</v>
      </c>
      <c r="H1015" s="12">
        <v>50</v>
      </c>
      <c r="I1015" s="13" t="s">
        <v>41</v>
      </c>
      <c r="J1015" s="13"/>
      <c r="K1015" s="13"/>
      <c r="L1015" s="4">
        <v>7</v>
      </c>
      <c r="M1015" s="14">
        <f>97*(1-P3/100)</f>
        <v>97</v>
      </c>
      <c r="N1015" s="15"/>
      <c r="O1015" s="13">
        <f>M1015*N1015</f>
        <v>0</v>
      </c>
      <c r="P1015" s="22">
        <f>0.078*N1015</f>
        <v>0</v>
      </c>
      <c r="Q1015" s="23">
        <f>0.00004*N1015</f>
        <v>0</v>
      </c>
      <c r="R1015" s="24"/>
      <c r="S1015" s="25" t="s">
        <v>4196</v>
      </c>
      <c r="T1015" s="25" t="s">
        <v>94</v>
      </c>
      <c r="U1015" s="5"/>
      <c r="V1015" s="5"/>
      <c r="W1015" s="5" t="s">
        <v>46</v>
      </c>
      <c r="X1015" s="5"/>
      <c r="Y1015" s="5"/>
      <c r="Z1015" s="5" t="str">
        <f>HYPERLINK("https://knigipp.ru/api/getInfo/image/00b69159-922d-11eb-a233-0cc47a2bbb49")</f>
        <v>https://knigipp.ru/api/getInfo/image/00b69159-922d-11eb-a233-0cc47a2bbb49</v>
      </c>
      <c r="AA1015" s="33">
        <v>8</v>
      </c>
      <c r="AB1015" s="5"/>
      <c r="AC1015" s="5" t="s">
        <v>96</v>
      </c>
      <c r="AD1015" s="5"/>
      <c r="AE1015" s="5" t="s">
        <v>49</v>
      </c>
      <c r="AF1015" s="5"/>
      <c r="AG1015" s="5"/>
      <c r="AH1015" s="5" t="s">
        <v>472</v>
      </c>
    </row>
    <row r="1016" spans="2:34" ht="22.95" customHeight="1" outlineLevel="3" x14ac:dyDescent="0.2">
      <c r="B1016" s="74" t="s">
        <v>4197</v>
      </c>
      <c r="C1016" s="74"/>
      <c r="D1016" s="74"/>
    </row>
    <row r="1017" spans="2:34" ht="21" customHeight="1" outlineLevel="4" x14ac:dyDescent="0.2">
      <c r="B1017" s="4">
        <v>768</v>
      </c>
      <c r="C1017" s="5" t="s">
        <v>4198</v>
      </c>
      <c r="D1017" s="5" t="s">
        <v>4199</v>
      </c>
      <c r="E1017" s="6" t="s">
        <v>4200</v>
      </c>
      <c r="F1017" s="10"/>
      <c r="G1017" s="11" t="s">
        <v>4201</v>
      </c>
      <c r="H1017" s="12">
        <v>50</v>
      </c>
      <c r="I1017" s="13" t="s">
        <v>41</v>
      </c>
      <c r="J1017" s="13"/>
      <c r="K1017" s="13"/>
      <c r="L1017" s="4">
        <v>8</v>
      </c>
      <c r="M1017" s="14">
        <f>77*(1-P3/100)</f>
        <v>77</v>
      </c>
      <c r="N1017" s="15"/>
      <c r="O1017" s="13">
        <f t="shared" ref="O1017:O1028" si="28">M1017*N1017</f>
        <v>0</v>
      </c>
      <c r="P1017" s="22">
        <f>0.042*N1017</f>
        <v>0</v>
      </c>
      <c r="Q1017" s="23">
        <f>0.00008*N1017</f>
        <v>0</v>
      </c>
      <c r="R1017" s="24"/>
      <c r="S1017" s="25" t="s">
        <v>4202</v>
      </c>
      <c r="T1017" s="25" t="s">
        <v>94</v>
      </c>
      <c r="U1017" s="5"/>
      <c r="V1017" s="5" t="s">
        <v>4203</v>
      </c>
      <c r="W1017" s="5" t="s">
        <v>46</v>
      </c>
      <c r="X1017" s="5"/>
      <c r="Y1017" s="5"/>
      <c r="Z1017" s="5" t="str">
        <f>HYPERLINK("https://knigipp.ru/api/getInfo/image/a20f3c67-af50-11ec-a211-ac1f6b442185")</f>
        <v>https://knigipp.ru/api/getInfo/image/a20f3c67-af50-11ec-a211-ac1f6b442185</v>
      </c>
      <c r="AA1017" s="33">
        <v>8</v>
      </c>
      <c r="AB1017" s="5"/>
      <c r="AC1017" s="5" t="s">
        <v>96</v>
      </c>
      <c r="AD1017" s="5"/>
      <c r="AE1017" s="5" t="s">
        <v>49</v>
      </c>
      <c r="AF1017" s="5"/>
      <c r="AG1017" s="5"/>
      <c r="AH1017" s="5" t="s">
        <v>4204</v>
      </c>
    </row>
    <row r="1018" spans="2:34" ht="21" customHeight="1" outlineLevel="4" x14ac:dyDescent="0.2">
      <c r="B1018" s="4">
        <v>769</v>
      </c>
      <c r="C1018" s="5" t="s">
        <v>4205</v>
      </c>
      <c r="D1018" s="5" t="s">
        <v>4206</v>
      </c>
      <c r="E1018" s="6" t="s">
        <v>4207</v>
      </c>
      <c r="F1018" s="10"/>
      <c r="G1018" s="11" t="s">
        <v>4201</v>
      </c>
      <c r="H1018" s="12">
        <v>50</v>
      </c>
      <c r="I1018" s="13" t="s">
        <v>41</v>
      </c>
      <c r="J1018" s="13"/>
      <c r="K1018" s="13"/>
      <c r="L1018" s="4">
        <v>8</v>
      </c>
      <c r="M1018" s="14">
        <f>77*(1-P3/100)</f>
        <v>77</v>
      </c>
      <c r="N1018" s="15"/>
      <c r="O1018" s="13">
        <f t="shared" si="28"/>
        <v>0</v>
      </c>
      <c r="P1018" s="22">
        <f>0.042*N1018</f>
        <v>0</v>
      </c>
      <c r="Q1018" s="23">
        <f>0.00003*N1018</f>
        <v>0</v>
      </c>
      <c r="R1018" s="24"/>
      <c r="S1018" s="25" t="s">
        <v>4208</v>
      </c>
      <c r="T1018" s="25" t="s">
        <v>94</v>
      </c>
      <c r="U1018" s="5"/>
      <c r="V1018" s="5" t="s">
        <v>4203</v>
      </c>
      <c r="W1018" s="5" t="s">
        <v>46</v>
      </c>
      <c r="X1018" s="5"/>
      <c r="Y1018" s="5"/>
      <c r="Z1018" s="5" t="str">
        <f>HYPERLINK("https://knigipp.ru/api/getInfo/image/5c57e207-0260-11eb-a255-ac1f6b442184")</f>
        <v>https://knigipp.ru/api/getInfo/image/5c57e207-0260-11eb-a255-ac1f6b442184</v>
      </c>
      <c r="AA1018" s="33">
        <v>8</v>
      </c>
      <c r="AB1018" s="5"/>
      <c r="AC1018" s="5" t="s">
        <v>96</v>
      </c>
      <c r="AD1018" s="5"/>
      <c r="AE1018" s="5" t="s">
        <v>49</v>
      </c>
      <c r="AF1018" s="5"/>
      <c r="AG1018" s="5"/>
      <c r="AH1018" s="5" t="s">
        <v>4204</v>
      </c>
    </row>
    <row r="1019" spans="2:34" ht="21" customHeight="1" outlineLevel="4" x14ac:dyDescent="0.2">
      <c r="B1019" s="4">
        <v>770</v>
      </c>
      <c r="C1019" s="5" t="s">
        <v>4209</v>
      </c>
      <c r="D1019" s="5" t="s">
        <v>4210</v>
      </c>
      <c r="E1019" s="6" t="s">
        <v>4211</v>
      </c>
      <c r="F1019" s="10"/>
      <c r="G1019" s="11" t="s">
        <v>4201</v>
      </c>
      <c r="H1019" s="12">
        <v>50</v>
      </c>
      <c r="I1019" s="13" t="s">
        <v>41</v>
      </c>
      <c r="J1019" s="13"/>
      <c r="K1019" s="13"/>
      <c r="L1019" s="4">
        <v>8</v>
      </c>
      <c r="M1019" s="14">
        <f>77*(1-P3/100)</f>
        <v>77</v>
      </c>
      <c r="N1019" s="15"/>
      <c r="O1019" s="13">
        <f t="shared" si="28"/>
        <v>0</v>
      </c>
      <c r="P1019" s="22">
        <f>0.042*N1019</f>
        <v>0</v>
      </c>
      <c r="Q1019" s="23">
        <f>0.00003*N1019</f>
        <v>0</v>
      </c>
      <c r="R1019" s="24"/>
      <c r="S1019" s="25" t="s">
        <v>4212</v>
      </c>
      <c r="T1019" s="25" t="s">
        <v>94</v>
      </c>
      <c r="U1019" s="5"/>
      <c r="V1019" s="5" t="s">
        <v>4203</v>
      </c>
      <c r="W1019" s="5" t="s">
        <v>46</v>
      </c>
      <c r="X1019" s="5"/>
      <c r="Y1019" s="5"/>
      <c r="Z1019" s="5" t="str">
        <f>HYPERLINK("https://knigipp.ru/api/getInfo/image/7b0ef630-0260-11eb-a255-ac1f6b442184")</f>
        <v>https://knigipp.ru/api/getInfo/image/7b0ef630-0260-11eb-a255-ac1f6b442184</v>
      </c>
      <c r="AA1019" s="33">
        <v>8</v>
      </c>
      <c r="AB1019" s="5"/>
      <c r="AC1019" s="5" t="s">
        <v>96</v>
      </c>
      <c r="AD1019" s="5"/>
      <c r="AE1019" s="5" t="s">
        <v>49</v>
      </c>
      <c r="AF1019" s="5"/>
      <c r="AG1019" s="5"/>
      <c r="AH1019" s="5" t="s">
        <v>4204</v>
      </c>
    </row>
    <row r="1020" spans="2:34" ht="21" customHeight="1" outlineLevel="4" x14ac:dyDescent="0.2">
      <c r="B1020" s="4">
        <v>771</v>
      </c>
      <c r="C1020" s="5" t="s">
        <v>4213</v>
      </c>
      <c r="D1020" s="5" t="s">
        <v>4214</v>
      </c>
      <c r="E1020" s="6" t="s">
        <v>4215</v>
      </c>
      <c r="F1020" s="10"/>
      <c r="G1020" s="11" t="s">
        <v>4201</v>
      </c>
      <c r="H1020" s="12">
        <v>50</v>
      </c>
      <c r="I1020" s="13" t="s">
        <v>41</v>
      </c>
      <c r="J1020" s="13"/>
      <c r="K1020" s="13"/>
      <c r="L1020" s="4">
        <v>8</v>
      </c>
      <c r="M1020" s="14">
        <f>77*(1-P3/100)</f>
        <v>77</v>
      </c>
      <c r="N1020" s="15"/>
      <c r="O1020" s="13">
        <f t="shared" si="28"/>
        <v>0</v>
      </c>
      <c r="P1020" s="22">
        <f>0.042*N1020</f>
        <v>0</v>
      </c>
      <c r="Q1020" s="23">
        <f>0.00003*N1020</f>
        <v>0</v>
      </c>
      <c r="R1020" s="24"/>
      <c r="S1020" s="25" t="s">
        <v>4216</v>
      </c>
      <c r="T1020" s="25" t="s">
        <v>94</v>
      </c>
      <c r="U1020" s="5"/>
      <c r="V1020" s="5" t="s">
        <v>4203</v>
      </c>
      <c r="W1020" s="5" t="s">
        <v>46</v>
      </c>
      <c r="X1020" s="5"/>
      <c r="Y1020" s="5"/>
      <c r="Z1020" s="5" t="str">
        <f>HYPERLINK("https://knigipp.ru/api/getInfo/image/b7fcdebf-0260-11eb-a255-ac1f6b442184")</f>
        <v>https://knigipp.ru/api/getInfo/image/b7fcdebf-0260-11eb-a255-ac1f6b442184</v>
      </c>
      <c r="AA1020" s="33">
        <v>8</v>
      </c>
      <c r="AB1020" s="5"/>
      <c r="AC1020" s="5" t="s">
        <v>96</v>
      </c>
      <c r="AD1020" s="5"/>
      <c r="AE1020" s="5" t="s">
        <v>49</v>
      </c>
      <c r="AF1020" s="5"/>
      <c r="AG1020" s="5"/>
      <c r="AH1020" s="5" t="s">
        <v>4204</v>
      </c>
    </row>
    <row r="1021" spans="2:34" ht="21" customHeight="1" outlineLevel="4" x14ac:dyDescent="0.2">
      <c r="B1021" s="4">
        <v>772</v>
      </c>
      <c r="C1021" s="5" t="s">
        <v>4217</v>
      </c>
      <c r="D1021" s="5" t="s">
        <v>4218</v>
      </c>
      <c r="E1021" s="6" t="s">
        <v>4219</v>
      </c>
      <c r="F1021" s="10"/>
      <c r="G1021" s="11" t="s">
        <v>4201</v>
      </c>
      <c r="H1021" s="12">
        <v>50</v>
      </c>
      <c r="I1021" s="13" t="s">
        <v>41</v>
      </c>
      <c r="J1021" s="13"/>
      <c r="K1021" s="13"/>
      <c r="L1021" s="4">
        <v>8</v>
      </c>
      <c r="M1021" s="14">
        <f>77*(1-P3/100)</f>
        <v>77</v>
      </c>
      <c r="N1021" s="15"/>
      <c r="O1021" s="13">
        <f t="shared" si="28"/>
        <v>0</v>
      </c>
      <c r="P1021" s="22">
        <f>0.036*N1021</f>
        <v>0</v>
      </c>
      <c r="Q1021" s="23">
        <f>0.00022*N1021</f>
        <v>0</v>
      </c>
      <c r="R1021" s="24"/>
      <c r="S1021" s="25" t="s">
        <v>4220</v>
      </c>
      <c r="T1021" s="25" t="s">
        <v>94</v>
      </c>
      <c r="U1021" s="5"/>
      <c r="V1021" s="5" t="s">
        <v>4203</v>
      </c>
      <c r="W1021" s="5" t="s">
        <v>46</v>
      </c>
      <c r="X1021" s="5"/>
      <c r="Y1021" s="5"/>
      <c r="Z1021" s="5" t="str">
        <f>HYPERLINK("https://knigipp.ru/api/getInfo/image/dd8d8308-4421-11ea-a240-ac1f6b442184")</f>
        <v>https://knigipp.ru/api/getInfo/image/dd8d8308-4421-11ea-a240-ac1f6b442184</v>
      </c>
      <c r="AA1021" s="33">
        <v>8</v>
      </c>
      <c r="AB1021" s="5"/>
      <c r="AC1021" s="5" t="s">
        <v>96</v>
      </c>
      <c r="AD1021" s="5"/>
      <c r="AE1021" s="5" t="s">
        <v>49</v>
      </c>
      <c r="AF1021" s="5"/>
      <c r="AG1021" s="5"/>
      <c r="AH1021" s="5" t="s">
        <v>4204</v>
      </c>
    </row>
    <row r="1022" spans="2:34" ht="21" customHeight="1" outlineLevel="4" x14ac:dyDescent="0.2">
      <c r="B1022" s="4">
        <v>773</v>
      </c>
      <c r="C1022" s="5" t="s">
        <v>4221</v>
      </c>
      <c r="D1022" s="5" t="s">
        <v>4222</v>
      </c>
      <c r="E1022" s="6" t="s">
        <v>4223</v>
      </c>
      <c r="F1022" s="10"/>
      <c r="G1022" s="11" t="s">
        <v>4201</v>
      </c>
      <c r="H1022" s="12">
        <v>50</v>
      </c>
      <c r="I1022" s="13" t="s">
        <v>41</v>
      </c>
      <c r="J1022" s="13"/>
      <c r="K1022" s="13"/>
      <c r="L1022" s="4">
        <v>8</v>
      </c>
      <c r="M1022" s="14">
        <f>77*(1-P3/100)</f>
        <v>77</v>
      </c>
      <c r="N1022" s="15"/>
      <c r="O1022" s="13">
        <f t="shared" si="28"/>
        <v>0</v>
      </c>
      <c r="P1022" s="22">
        <f>0.037*N1022</f>
        <v>0</v>
      </c>
      <c r="Q1022" s="23">
        <f>0.00028*N1022</f>
        <v>0</v>
      </c>
      <c r="R1022" s="24"/>
      <c r="S1022" s="25" t="s">
        <v>4224</v>
      </c>
      <c r="T1022" s="25" t="s">
        <v>94</v>
      </c>
      <c r="U1022" s="5"/>
      <c r="V1022" s="5" t="s">
        <v>4203</v>
      </c>
      <c r="W1022" s="5" t="s">
        <v>46</v>
      </c>
      <c r="X1022" s="5"/>
      <c r="Y1022" s="5"/>
      <c r="Z1022" s="5" t="str">
        <f>HYPERLINK("https://knigipp.ru/api/getInfo/image/fca3acf4-af50-11ec-a211-ac1f6b442185")</f>
        <v>https://knigipp.ru/api/getInfo/image/fca3acf4-af50-11ec-a211-ac1f6b442185</v>
      </c>
      <c r="AA1022" s="33">
        <v>8</v>
      </c>
      <c r="AB1022" s="5"/>
      <c r="AC1022" s="5" t="s">
        <v>96</v>
      </c>
      <c r="AD1022" s="5"/>
      <c r="AE1022" s="5" t="s">
        <v>49</v>
      </c>
      <c r="AF1022" s="5"/>
      <c r="AG1022" s="5"/>
      <c r="AH1022" s="5" t="s">
        <v>4204</v>
      </c>
    </row>
    <row r="1023" spans="2:34" ht="21" customHeight="1" outlineLevel="4" x14ac:dyDescent="0.2">
      <c r="B1023" s="4">
        <v>774</v>
      </c>
      <c r="C1023" s="5" t="s">
        <v>4225</v>
      </c>
      <c r="D1023" s="5" t="s">
        <v>4226</v>
      </c>
      <c r="E1023" s="6" t="s">
        <v>4227</v>
      </c>
      <c r="F1023" s="10"/>
      <c r="G1023" s="11" t="s">
        <v>4201</v>
      </c>
      <c r="H1023" s="12">
        <v>50</v>
      </c>
      <c r="I1023" s="13" t="s">
        <v>41</v>
      </c>
      <c r="J1023" s="13"/>
      <c r="K1023" s="13"/>
      <c r="L1023" s="4">
        <v>8</v>
      </c>
      <c r="M1023" s="14">
        <f>77*(1-P3/100)</f>
        <v>77</v>
      </c>
      <c r="N1023" s="15"/>
      <c r="O1023" s="13">
        <f t="shared" si="28"/>
        <v>0</v>
      </c>
      <c r="P1023" s="22">
        <f>0.039*N1023</f>
        <v>0</v>
      </c>
      <c r="Q1023" s="23">
        <f>0.00019*N1023</f>
        <v>0</v>
      </c>
      <c r="R1023" s="24"/>
      <c r="S1023" s="25" t="s">
        <v>4228</v>
      </c>
      <c r="T1023" s="25" t="s">
        <v>94</v>
      </c>
      <c r="U1023" s="5"/>
      <c r="V1023" s="5" t="s">
        <v>4203</v>
      </c>
      <c r="W1023" s="5" t="s">
        <v>46</v>
      </c>
      <c r="X1023" s="5"/>
      <c r="Y1023" s="5"/>
      <c r="Z1023" s="5" t="str">
        <f>HYPERLINK("https://knigipp.ru/api/getInfo/image/93017824-0260-11eb-a255-ac1f6b442184")</f>
        <v>https://knigipp.ru/api/getInfo/image/93017824-0260-11eb-a255-ac1f6b442184</v>
      </c>
      <c r="AA1023" s="33">
        <v>8</v>
      </c>
      <c r="AB1023" s="5"/>
      <c r="AC1023" s="5" t="s">
        <v>96</v>
      </c>
      <c r="AD1023" s="5"/>
      <c r="AE1023" s="5" t="s">
        <v>49</v>
      </c>
      <c r="AF1023" s="5"/>
      <c r="AG1023" s="5"/>
      <c r="AH1023" s="5" t="s">
        <v>4204</v>
      </c>
    </row>
    <row r="1024" spans="2:34" ht="21" customHeight="1" outlineLevel="4" x14ac:dyDescent="0.2">
      <c r="B1024" s="4">
        <v>775</v>
      </c>
      <c r="C1024" s="5" t="s">
        <v>4229</v>
      </c>
      <c r="D1024" s="5" t="s">
        <v>4230</v>
      </c>
      <c r="E1024" s="6" t="s">
        <v>4231</v>
      </c>
      <c r="F1024" s="10"/>
      <c r="G1024" s="11" t="s">
        <v>4201</v>
      </c>
      <c r="H1024" s="12">
        <v>50</v>
      </c>
      <c r="I1024" s="13" t="s">
        <v>41</v>
      </c>
      <c r="J1024" s="13"/>
      <c r="K1024" s="13"/>
      <c r="L1024" s="4">
        <v>8</v>
      </c>
      <c r="M1024" s="14">
        <f>77*(1-P3/100)</f>
        <v>77</v>
      </c>
      <c r="N1024" s="15"/>
      <c r="O1024" s="13">
        <f t="shared" si="28"/>
        <v>0</v>
      </c>
      <c r="P1024" s="22">
        <f>0.038*N1024</f>
        <v>0</v>
      </c>
      <c r="Q1024" s="23">
        <f>0.00028*N1024</f>
        <v>0</v>
      </c>
      <c r="R1024" s="24"/>
      <c r="S1024" s="25" t="s">
        <v>4232</v>
      </c>
      <c r="T1024" s="25" t="s">
        <v>94</v>
      </c>
      <c r="U1024" s="5"/>
      <c r="V1024" s="5" t="s">
        <v>4203</v>
      </c>
      <c r="W1024" s="5" t="s">
        <v>46</v>
      </c>
      <c r="X1024" s="5"/>
      <c r="Y1024" s="5"/>
      <c r="Z1024" s="5" t="str">
        <f>HYPERLINK("https://knigipp.ru/api/getInfo/image/f623cb5a-4421-11ea-a240-ac1f6b442184")</f>
        <v>https://knigipp.ru/api/getInfo/image/f623cb5a-4421-11ea-a240-ac1f6b442184</v>
      </c>
      <c r="AA1024" s="33">
        <v>8</v>
      </c>
      <c r="AB1024" s="5"/>
      <c r="AC1024" s="5" t="s">
        <v>96</v>
      </c>
      <c r="AD1024" s="5"/>
      <c r="AE1024" s="5" t="s">
        <v>49</v>
      </c>
      <c r="AF1024" s="5"/>
      <c r="AG1024" s="5"/>
      <c r="AH1024" s="5" t="s">
        <v>4204</v>
      </c>
    </row>
    <row r="1025" spans="2:34" ht="21" customHeight="1" outlineLevel="4" x14ac:dyDescent="0.2">
      <c r="B1025" s="4">
        <v>776</v>
      </c>
      <c r="C1025" s="5" t="s">
        <v>4233</v>
      </c>
      <c r="D1025" s="5" t="s">
        <v>4234</v>
      </c>
      <c r="E1025" s="6" t="s">
        <v>4235</v>
      </c>
      <c r="F1025" s="10"/>
      <c r="G1025" s="11" t="s">
        <v>4201</v>
      </c>
      <c r="H1025" s="12">
        <v>50</v>
      </c>
      <c r="I1025" s="13" t="s">
        <v>41</v>
      </c>
      <c r="J1025" s="13"/>
      <c r="K1025" s="13"/>
      <c r="L1025" s="4">
        <v>8</v>
      </c>
      <c r="M1025" s="14">
        <f>77*(1-P3/100)</f>
        <v>77</v>
      </c>
      <c r="N1025" s="15"/>
      <c r="O1025" s="13">
        <f t="shared" si="28"/>
        <v>0</v>
      </c>
      <c r="P1025" s="22">
        <f>0.042*N1025</f>
        <v>0</v>
      </c>
      <c r="Q1025" s="23">
        <f>0.00004*N1025</f>
        <v>0</v>
      </c>
      <c r="R1025" s="24"/>
      <c r="S1025" s="25" t="s">
        <v>4236</v>
      </c>
      <c r="T1025" s="25" t="s">
        <v>94</v>
      </c>
      <c r="U1025" s="5"/>
      <c r="V1025" s="5" t="s">
        <v>4203</v>
      </c>
      <c r="W1025" s="5" t="s">
        <v>46</v>
      </c>
      <c r="X1025" s="5"/>
      <c r="Y1025" s="5"/>
      <c r="Z1025" s="5" t="str">
        <f>HYPERLINK("https://knigipp.ru/api/getInfo/image/129ed7ec-4422-11ea-a240-ac1f6b442184")</f>
        <v>https://knigipp.ru/api/getInfo/image/129ed7ec-4422-11ea-a240-ac1f6b442184</v>
      </c>
      <c r="AA1025" s="33">
        <v>8</v>
      </c>
      <c r="AB1025" s="5"/>
      <c r="AC1025" s="5" t="s">
        <v>96</v>
      </c>
      <c r="AD1025" s="5"/>
      <c r="AE1025" s="5" t="s">
        <v>49</v>
      </c>
      <c r="AF1025" s="5"/>
      <c r="AG1025" s="5"/>
      <c r="AH1025" s="5" t="s">
        <v>4204</v>
      </c>
    </row>
    <row r="1026" spans="2:34" ht="21" customHeight="1" outlineLevel="4" x14ac:dyDescent="0.2">
      <c r="B1026" s="4">
        <v>777</v>
      </c>
      <c r="C1026" s="5" t="s">
        <v>4237</v>
      </c>
      <c r="D1026" s="5" t="s">
        <v>4238</v>
      </c>
      <c r="E1026" s="6" t="s">
        <v>4239</v>
      </c>
      <c r="F1026" s="10"/>
      <c r="G1026" s="11" t="s">
        <v>4201</v>
      </c>
      <c r="H1026" s="12">
        <v>50</v>
      </c>
      <c r="I1026" s="13" t="s">
        <v>41</v>
      </c>
      <c r="J1026" s="13"/>
      <c r="K1026" s="13"/>
      <c r="L1026" s="4">
        <v>8</v>
      </c>
      <c r="M1026" s="14">
        <f>77*(1-P3/100)</f>
        <v>77</v>
      </c>
      <c r="N1026" s="15"/>
      <c r="O1026" s="13">
        <f t="shared" si="28"/>
        <v>0</v>
      </c>
      <c r="P1026" s="22">
        <f>0.039*N1026</f>
        <v>0</v>
      </c>
      <c r="Q1026" s="23">
        <f>0.00024*N1026</f>
        <v>0</v>
      </c>
      <c r="R1026" s="24"/>
      <c r="S1026" s="25" t="s">
        <v>4240</v>
      </c>
      <c r="T1026" s="25" t="s">
        <v>94</v>
      </c>
      <c r="U1026" s="5"/>
      <c r="V1026" s="5" t="s">
        <v>4203</v>
      </c>
      <c r="W1026" s="5" t="s">
        <v>46</v>
      </c>
      <c r="X1026" s="5"/>
      <c r="Y1026" s="5"/>
      <c r="Z1026" s="5" t="str">
        <f>HYPERLINK("https://knigipp.ru/api/getInfo/image/3e30bdc4-7ad8-11e9-a226-ac1f6b442184")</f>
        <v>https://knigipp.ru/api/getInfo/image/3e30bdc4-7ad8-11e9-a226-ac1f6b442184</v>
      </c>
      <c r="AA1026" s="33">
        <v>8</v>
      </c>
      <c r="AB1026" s="5"/>
      <c r="AC1026" s="5" t="s">
        <v>96</v>
      </c>
      <c r="AD1026" s="5"/>
      <c r="AE1026" s="5" t="s">
        <v>49</v>
      </c>
      <c r="AF1026" s="5"/>
      <c r="AG1026" s="5"/>
      <c r="AH1026" s="5" t="s">
        <v>4204</v>
      </c>
    </row>
    <row r="1027" spans="2:34" ht="21" customHeight="1" outlineLevel="4" x14ac:dyDescent="0.2">
      <c r="B1027" s="4">
        <v>778</v>
      </c>
      <c r="C1027" s="5" t="s">
        <v>4241</v>
      </c>
      <c r="D1027" s="5" t="s">
        <v>4242</v>
      </c>
      <c r="E1027" s="6" t="s">
        <v>4243</v>
      </c>
      <c r="F1027" s="10"/>
      <c r="G1027" s="11" t="s">
        <v>4201</v>
      </c>
      <c r="H1027" s="12">
        <v>50</v>
      </c>
      <c r="I1027" s="13" t="s">
        <v>41</v>
      </c>
      <c r="J1027" s="13"/>
      <c r="K1027" s="13"/>
      <c r="L1027" s="4">
        <v>8</v>
      </c>
      <c r="M1027" s="14">
        <f>77*(1-P3/100)</f>
        <v>77</v>
      </c>
      <c r="N1027" s="15"/>
      <c r="O1027" s="13">
        <f t="shared" si="28"/>
        <v>0</v>
      </c>
      <c r="P1027" s="22">
        <f>0.042*N1027</f>
        <v>0</v>
      </c>
      <c r="Q1027" s="23">
        <f>0.00003*N1027</f>
        <v>0</v>
      </c>
      <c r="R1027" s="24"/>
      <c r="S1027" s="25" t="s">
        <v>4244</v>
      </c>
      <c r="T1027" s="25" t="s">
        <v>94</v>
      </c>
      <c r="U1027" s="5"/>
      <c r="V1027" s="5" t="s">
        <v>4203</v>
      </c>
      <c r="W1027" s="5" t="s">
        <v>46</v>
      </c>
      <c r="X1027" s="5"/>
      <c r="Y1027" s="5"/>
      <c r="Z1027" s="5" t="str">
        <f>HYPERLINK("https://knigipp.ru/api/getInfo/image/508a9f83-7ad8-11e9-a226-ac1f6b442184")</f>
        <v>https://knigipp.ru/api/getInfo/image/508a9f83-7ad8-11e9-a226-ac1f6b442184</v>
      </c>
      <c r="AA1027" s="33">
        <v>8</v>
      </c>
      <c r="AB1027" s="5"/>
      <c r="AC1027" s="5" t="s">
        <v>96</v>
      </c>
      <c r="AD1027" s="5"/>
      <c r="AE1027" s="5" t="s">
        <v>49</v>
      </c>
      <c r="AF1027" s="5"/>
      <c r="AG1027" s="5"/>
      <c r="AH1027" s="5" t="s">
        <v>4204</v>
      </c>
    </row>
    <row r="1028" spans="2:34" ht="21" customHeight="1" outlineLevel="4" x14ac:dyDescent="0.2">
      <c r="B1028" s="4">
        <v>779</v>
      </c>
      <c r="C1028" s="5" t="s">
        <v>4245</v>
      </c>
      <c r="D1028" s="5" t="s">
        <v>4246</v>
      </c>
      <c r="E1028" s="6" t="s">
        <v>4247</v>
      </c>
      <c r="F1028" s="10"/>
      <c r="G1028" s="11" t="s">
        <v>4201</v>
      </c>
      <c r="H1028" s="12">
        <v>50</v>
      </c>
      <c r="I1028" s="13" t="s">
        <v>41</v>
      </c>
      <c r="J1028" s="13"/>
      <c r="K1028" s="13"/>
      <c r="L1028" s="4">
        <v>8</v>
      </c>
      <c r="M1028" s="14">
        <f>77*(1-P3/100)</f>
        <v>77</v>
      </c>
      <c r="N1028" s="15"/>
      <c r="O1028" s="13">
        <f t="shared" si="28"/>
        <v>0</v>
      </c>
      <c r="P1028" s="22">
        <f>0.042*N1028</f>
        <v>0</v>
      </c>
      <c r="Q1028" s="23">
        <f>0.00003*N1028</f>
        <v>0</v>
      </c>
      <c r="R1028" s="24"/>
      <c r="S1028" s="25" t="s">
        <v>4248</v>
      </c>
      <c r="T1028" s="25" t="s">
        <v>94</v>
      </c>
      <c r="U1028" s="5"/>
      <c r="V1028" s="5" t="s">
        <v>4203</v>
      </c>
      <c r="W1028" s="5" t="s">
        <v>46</v>
      </c>
      <c r="X1028" s="5"/>
      <c r="Y1028" s="5"/>
      <c r="Z1028" s="5" t="str">
        <f>HYPERLINK("https://knigipp.ru/api/getInfo/image/71117467-7ad8-11e9-a226-ac1f6b442184")</f>
        <v>https://knigipp.ru/api/getInfo/image/71117467-7ad8-11e9-a226-ac1f6b442184</v>
      </c>
      <c r="AA1028" s="33">
        <v>8</v>
      </c>
      <c r="AB1028" s="5"/>
      <c r="AC1028" s="5" t="s">
        <v>96</v>
      </c>
      <c r="AD1028" s="5"/>
      <c r="AE1028" s="5" t="s">
        <v>49</v>
      </c>
      <c r="AF1028" s="5"/>
      <c r="AG1028" s="5"/>
      <c r="AH1028" s="5" t="s">
        <v>4204</v>
      </c>
    </row>
    <row r="1029" spans="2:34" ht="22.95" customHeight="1" outlineLevel="3" x14ac:dyDescent="0.2">
      <c r="B1029" s="74" t="s">
        <v>4249</v>
      </c>
      <c r="C1029" s="74"/>
      <c r="D1029" s="74"/>
    </row>
    <row r="1030" spans="2:34" ht="21" customHeight="1" outlineLevel="4" x14ac:dyDescent="0.2">
      <c r="B1030" s="4">
        <v>780</v>
      </c>
      <c r="C1030" s="5" t="s">
        <v>4250</v>
      </c>
      <c r="D1030" s="5" t="s">
        <v>4251</v>
      </c>
      <c r="E1030" s="6" t="s">
        <v>4252</v>
      </c>
      <c r="F1030" s="10"/>
      <c r="G1030" s="11" t="s">
        <v>4253</v>
      </c>
      <c r="H1030" s="12">
        <v>30</v>
      </c>
      <c r="I1030" s="13" t="s">
        <v>41</v>
      </c>
      <c r="J1030" s="13"/>
      <c r="K1030" s="13"/>
      <c r="L1030" s="4">
        <v>5</v>
      </c>
      <c r="M1030" s="14">
        <f>119*(1-P3/100)</f>
        <v>119</v>
      </c>
      <c r="N1030" s="15"/>
      <c r="O1030" s="13">
        <f>M1030*N1030</f>
        <v>0</v>
      </c>
      <c r="P1030" s="22">
        <f>0.054*N1030</f>
        <v>0</v>
      </c>
      <c r="Q1030" s="23">
        <f>0.00007*N1030</f>
        <v>0</v>
      </c>
      <c r="R1030" s="24"/>
      <c r="S1030" s="25" t="s">
        <v>4254</v>
      </c>
      <c r="T1030" s="25" t="s">
        <v>43</v>
      </c>
      <c r="U1030" s="5"/>
      <c r="V1030" s="5" t="s">
        <v>4255</v>
      </c>
      <c r="W1030" s="5" t="s">
        <v>46</v>
      </c>
      <c r="X1030" s="5"/>
      <c r="Y1030" s="5"/>
      <c r="Z1030" s="5" t="str">
        <f>HYPERLINK("https://knigipp.ru/api/getInfo/image/382196c4-f5d6-11ef-a274-00155d82e908")</f>
        <v>https://knigipp.ru/api/getInfo/image/382196c4-f5d6-11ef-a274-00155d82e908</v>
      </c>
      <c r="AA1030" s="33">
        <v>16</v>
      </c>
      <c r="AB1030" s="5"/>
      <c r="AC1030" s="5" t="s">
        <v>96</v>
      </c>
      <c r="AD1030" s="5"/>
      <c r="AE1030" s="5" t="s">
        <v>49</v>
      </c>
      <c r="AF1030" s="5"/>
      <c r="AG1030" s="5"/>
      <c r="AH1030" s="5" t="s">
        <v>3351</v>
      </c>
    </row>
    <row r="1031" spans="2:34" ht="21" customHeight="1" outlineLevel="4" x14ac:dyDescent="0.2">
      <c r="B1031" s="4">
        <v>781</v>
      </c>
      <c r="C1031" s="5" t="s">
        <v>4256</v>
      </c>
      <c r="D1031" s="5" t="s">
        <v>4257</v>
      </c>
      <c r="E1031" s="6" t="s">
        <v>4258</v>
      </c>
      <c r="F1031" s="10"/>
      <c r="G1031" s="11" t="s">
        <v>4253</v>
      </c>
      <c r="H1031" s="12">
        <v>30</v>
      </c>
      <c r="I1031" s="13" t="s">
        <v>41</v>
      </c>
      <c r="J1031" s="13"/>
      <c r="K1031" s="13"/>
      <c r="L1031" s="4">
        <v>5</v>
      </c>
      <c r="M1031" s="14">
        <f>119*(1-P3/100)</f>
        <v>119</v>
      </c>
      <c r="N1031" s="15"/>
      <c r="O1031" s="13">
        <f>M1031*N1031</f>
        <v>0</v>
      </c>
      <c r="P1031" s="22">
        <f>0.054*N1031</f>
        <v>0</v>
      </c>
      <c r="Q1031" s="23">
        <f>0.00007*N1031</f>
        <v>0</v>
      </c>
      <c r="R1031" s="24"/>
      <c r="S1031" s="25" t="s">
        <v>4259</v>
      </c>
      <c r="T1031" s="25" t="s">
        <v>43</v>
      </c>
      <c r="U1031" s="5"/>
      <c r="V1031" s="5" t="s">
        <v>4255</v>
      </c>
      <c r="W1031" s="5" t="s">
        <v>46</v>
      </c>
      <c r="X1031" s="5"/>
      <c r="Y1031" s="5"/>
      <c r="Z1031" s="5" t="str">
        <f>HYPERLINK("https://knigipp.ru/api/getInfo/image/60cc9f32-f5d6-11ef-a274-00155d82e908")</f>
        <v>https://knigipp.ru/api/getInfo/image/60cc9f32-f5d6-11ef-a274-00155d82e908</v>
      </c>
      <c r="AA1031" s="33">
        <v>16</v>
      </c>
      <c r="AB1031" s="5"/>
      <c r="AC1031" s="5" t="s">
        <v>96</v>
      </c>
      <c r="AD1031" s="5"/>
      <c r="AE1031" s="5" t="s">
        <v>49</v>
      </c>
      <c r="AF1031" s="5"/>
      <c r="AG1031" s="5"/>
      <c r="AH1031" s="5" t="s">
        <v>3351</v>
      </c>
    </row>
    <row r="1032" spans="2:34" ht="21" customHeight="1" outlineLevel="4" x14ac:dyDescent="0.2">
      <c r="B1032" s="4">
        <v>782</v>
      </c>
      <c r="C1032" s="5" t="s">
        <v>4260</v>
      </c>
      <c r="D1032" s="5" t="s">
        <v>4261</v>
      </c>
      <c r="E1032" s="6" t="s">
        <v>4262</v>
      </c>
      <c r="F1032" s="10"/>
      <c r="G1032" s="11" t="s">
        <v>4253</v>
      </c>
      <c r="H1032" s="12">
        <v>30</v>
      </c>
      <c r="I1032" s="13" t="s">
        <v>41</v>
      </c>
      <c r="J1032" s="13"/>
      <c r="K1032" s="13"/>
      <c r="L1032" s="4">
        <v>5</v>
      </c>
      <c r="M1032" s="14">
        <f>119*(1-P3/100)</f>
        <v>119</v>
      </c>
      <c r="N1032" s="15"/>
      <c r="O1032" s="13">
        <f>M1032*N1032</f>
        <v>0</v>
      </c>
      <c r="P1032" s="22">
        <f>0.054*N1032</f>
        <v>0</v>
      </c>
      <c r="Q1032" s="23">
        <f>0.00007*N1032</f>
        <v>0</v>
      </c>
      <c r="R1032" s="24"/>
      <c r="S1032" s="25" t="s">
        <v>4263</v>
      </c>
      <c r="T1032" s="25" t="s">
        <v>43</v>
      </c>
      <c r="U1032" s="5"/>
      <c r="V1032" s="5" t="s">
        <v>4255</v>
      </c>
      <c r="W1032" s="5" t="s">
        <v>46</v>
      </c>
      <c r="X1032" s="5"/>
      <c r="Y1032" s="5"/>
      <c r="Z1032" s="5" t="str">
        <f>HYPERLINK("https://knigipp.ru/api/getInfo/image/872466e8-f5d6-11ef-a274-00155d82e908")</f>
        <v>https://knigipp.ru/api/getInfo/image/872466e8-f5d6-11ef-a274-00155d82e908</v>
      </c>
      <c r="AA1032" s="33">
        <v>16</v>
      </c>
      <c r="AB1032" s="5"/>
      <c r="AC1032" s="5" t="s">
        <v>96</v>
      </c>
      <c r="AD1032" s="5"/>
      <c r="AE1032" s="5" t="s">
        <v>49</v>
      </c>
      <c r="AF1032" s="5"/>
      <c r="AG1032" s="5"/>
      <c r="AH1032" s="5" t="s">
        <v>3351</v>
      </c>
    </row>
    <row r="1033" spans="2:34" ht="21" customHeight="1" outlineLevel="4" x14ac:dyDescent="0.2">
      <c r="B1033" s="4">
        <v>783</v>
      </c>
      <c r="C1033" s="5" t="s">
        <v>4264</v>
      </c>
      <c r="D1033" s="5" t="s">
        <v>4265</v>
      </c>
      <c r="E1033" s="6" t="s">
        <v>4266</v>
      </c>
      <c r="F1033" s="10"/>
      <c r="G1033" s="11" t="s">
        <v>4253</v>
      </c>
      <c r="H1033" s="12">
        <v>30</v>
      </c>
      <c r="I1033" s="13" t="s">
        <v>41</v>
      </c>
      <c r="J1033" s="13"/>
      <c r="K1033" s="13"/>
      <c r="L1033" s="4">
        <v>5</v>
      </c>
      <c r="M1033" s="14">
        <f>119*(1-P3/100)</f>
        <v>119</v>
      </c>
      <c r="N1033" s="15"/>
      <c r="O1033" s="13">
        <f>M1033*N1033</f>
        <v>0</v>
      </c>
      <c r="P1033" s="22">
        <f>0.054*N1033</f>
        <v>0</v>
      </c>
      <c r="Q1033" s="23">
        <f>0.00007*N1033</f>
        <v>0</v>
      </c>
      <c r="R1033" s="24"/>
      <c r="S1033" s="25" t="s">
        <v>4267</v>
      </c>
      <c r="T1033" s="25" t="s">
        <v>43</v>
      </c>
      <c r="U1033" s="5"/>
      <c r="V1033" s="5" t="s">
        <v>4255</v>
      </c>
      <c r="W1033" s="5" t="s">
        <v>46</v>
      </c>
      <c r="X1033" s="5"/>
      <c r="Y1033" s="5"/>
      <c r="Z1033" s="5" t="str">
        <f>HYPERLINK("https://knigipp.ru/api/getInfo/image/0c11af65-f5d6-11ef-a274-00155d82e908")</f>
        <v>https://knigipp.ru/api/getInfo/image/0c11af65-f5d6-11ef-a274-00155d82e908</v>
      </c>
      <c r="AA1033" s="33">
        <v>16</v>
      </c>
      <c r="AB1033" s="5"/>
      <c r="AC1033" s="5" t="s">
        <v>96</v>
      </c>
      <c r="AD1033" s="5"/>
      <c r="AE1033" s="5" t="s">
        <v>49</v>
      </c>
      <c r="AF1033" s="5"/>
      <c r="AG1033" s="5"/>
      <c r="AH1033" s="5" t="s">
        <v>3351</v>
      </c>
    </row>
    <row r="1034" spans="2:34" ht="22.95" customHeight="1" outlineLevel="3" x14ac:dyDescent="0.2">
      <c r="B1034" s="74" t="s">
        <v>4268</v>
      </c>
      <c r="C1034" s="74"/>
      <c r="D1034" s="74"/>
    </row>
    <row r="1035" spans="2:34" ht="21" customHeight="1" outlineLevel="4" x14ac:dyDescent="0.2">
      <c r="B1035" s="4">
        <v>784</v>
      </c>
      <c r="C1035" s="5" t="s">
        <v>4269</v>
      </c>
      <c r="D1035" s="5" t="s">
        <v>4270</v>
      </c>
      <c r="E1035" s="6" t="s">
        <v>4271</v>
      </c>
      <c r="F1035" s="10"/>
      <c r="G1035" s="11" t="s">
        <v>4272</v>
      </c>
      <c r="H1035" s="12">
        <v>30</v>
      </c>
      <c r="I1035" s="13" t="s">
        <v>371</v>
      </c>
      <c r="J1035" s="13"/>
      <c r="K1035" s="13"/>
      <c r="L1035" s="4">
        <v>5</v>
      </c>
      <c r="M1035" s="14">
        <f>137*(1-P3/100)</f>
        <v>137</v>
      </c>
      <c r="N1035" s="15"/>
      <c r="O1035" s="13">
        <f>M1035*N1035</f>
        <v>0</v>
      </c>
      <c r="P1035" s="22">
        <f>0.041*N1035</f>
        <v>0</v>
      </c>
      <c r="Q1035" s="23">
        <f>0.00006*N1035</f>
        <v>0</v>
      </c>
      <c r="R1035" s="24"/>
      <c r="S1035" s="25" t="s">
        <v>4273</v>
      </c>
      <c r="T1035" s="25" t="s">
        <v>94</v>
      </c>
      <c r="U1035" s="5"/>
      <c r="V1035" s="5"/>
      <c r="W1035" s="5" t="s">
        <v>46</v>
      </c>
      <c r="X1035" s="5"/>
      <c r="Y1035" s="5"/>
      <c r="Z1035" s="5" t="str">
        <f>HYPERLINK("https://knigipp.ru/api/getInfo/image/1d3cc13e-7fcc-11ef-a265-00155d82e908")</f>
        <v>https://knigipp.ru/api/getInfo/image/1d3cc13e-7fcc-11ef-a265-00155d82e908</v>
      </c>
      <c r="AA1035" s="33">
        <v>14</v>
      </c>
      <c r="AB1035" s="5"/>
      <c r="AC1035" s="5" t="s">
        <v>96</v>
      </c>
      <c r="AD1035" s="5"/>
      <c r="AE1035" s="5" t="s">
        <v>49</v>
      </c>
      <c r="AF1035" s="5"/>
      <c r="AG1035" s="5"/>
      <c r="AH1035" s="5" t="s">
        <v>4274</v>
      </c>
    </row>
    <row r="1036" spans="2:34" ht="21" customHeight="1" outlineLevel="4" x14ac:dyDescent="0.2">
      <c r="B1036" s="4">
        <v>785</v>
      </c>
      <c r="C1036" s="5" t="s">
        <v>4275</v>
      </c>
      <c r="D1036" s="5" t="s">
        <v>4276</v>
      </c>
      <c r="E1036" s="6" t="s">
        <v>4277</v>
      </c>
      <c r="F1036" s="10"/>
      <c r="G1036" s="11" t="s">
        <v>4272</v>
      </c>
      <c r="H1036" s="12">
        <v>30</v>
      </c>
      <c r="I1036" s="13" t="s">
        <v>41</v>
      </c>
      <c r="J1036" s="13"/>
      <c r="K1036" s="13"/>
      <c r="L1036" s="4">
        <v>5</v>
      </c>
      <c r="M1036" s="14">
        <f>137*(1-P3/100)</f>
        <v>137</v>
      </c>
      <c r="N1036" s="15"/>
      <c r="O1036" s="13">
        <f>M1036*N1036</f>
        <v>0</v>
      </c>
      <c r="P1036" s="22">
        <f>0.041*N1036</f>
        <v>0</v>
      </c>
      <c r="Q1036" s="23">
        <f>0.00014*N1036</f>
        <v>0</v>
      </c>
      <c r="R1036" s="24"/>
      <c r="S1036" s="25" t="s">
        <v>4278</v>
      </c>
      <c r="T1036" s="25" t="s">
        <v>94</v>
      </c>
      <c r="U1036" s="5"/>
      <c r="V1036" s="5"/>
      <c r="W1036" s="5" t="s">
        <v>46</v>
      </c>
      <c r="X1036" s="5"/>
      <c r="Y1036" s="5"/>
      <c r="Z1036" s="5" t="str">
        <f>HYPERLINK("https://knigipp.ru/api/getInfo/image/8aee3b43-7fcc-11ef-a265-00155d82e908")</f>
        <v>https://knigipp.ru/api/getInfo/image/8aee3b43-7fcc-11ef-a265-00155d82e908</v>
      </c>
      <c r="AA1036" s="33">
        <v>14</v>
      </c>
      <c r="AB1036" s="5"/>
      <c r="AC1036" s="5" t="s">
        <v>96</v>
      </c>
      <c r="AD1036" s="5"/>
      <c r="AE1036" s="5" t="s">
        <v>49</v>
      </c>
      <c r="AF1036" s="5"/>
      <c r="AG1036" s="5"/>
      <c r="AH1036" s="5" t="s">
        <v>4274</v>
      </c>
    </row>
    <row r="1037" spans="2:34" ht="21" customHeight="1" outlineLevel="4" x14ac:dyDescent="0.2">
      <c r="B1037" s="4">
        <v>786</v>
      </c>
      <c r="C1037" s="5" t="s">
        <v>4279</v>
      </c>
      <c r="D1037" s="5" t="s">
        <v>4280</v>
      </c>
      <c r="E1037" s="6" t="s">
        <v>4281</v>
      </c>
      <c r="F1037" s="10"/>
      <c r="G1037" s="11" t="s">
        <v>4272</v>
      </c>
      <c r="H1037" s="12">
        <v>30</v>
      </c>
      <c r="I1037" s="13" t="s">
        <v>41</v>
      </c>
      <c r="J1037" s="13"/>
      <c r="K1037" s="13"/>
      <c r="L1037" s="4">
        <v>5</v>
      </c>
      <c r="M1037" s="14">
        <f>137*(1-P3/100)</f>
        <v>137</v>
      </c>
      <c r="N1037" s="15"/>
      <c r="O1037" s="13">
        <f>M1037*N1037</f>
        <v>0</v>
      </c>
      <c r="P1037" s="22">
        <f>0.041*N1037</f>
        <v>0</v>
      </c>
      <c r="Q1037" s="23">
        <f>0.00009*N1037</f>
        <v>0</v>
      </c>
      <c r="R1037" s="24"/>
      <c r="S1037" s="25" t="s">
        <v>4282</v>
      </c>
      <c r="T1037" s="25" t="s">
        <v>94</v>
      </c>
      <c r="U1037" s="5"/>
      <c r="V1037" s="5"/>
      <c r="W1037" s="5" t="s">
        <v>46</v>
      </c>
      <c r="X1037" s="5"/>
      <c r="Y1037" s="5"/>
      <c r="Z1037" s="5" t="str">
        <f>HYPERLINK("https://knigipp.ru/api/getInfo/image/94d867dc-7fc6-11ef-a265-00155d82e908")</f>
        <v>https://knigipp.ru/api/getInfo/image/94d867dc-7fc6-11ef-a265-00155d82e908</v>
      </c>
      <c r="AA1037" s="33">
        <v>14</v>
      </c>
      <c r="AB1037" s="5"/>
      <c r="AC1037" s="5" t="s">
        <v>96</v>
      </c>
      <c r="AD1037" s="5"/>
      <c r="AE1037" s="5" t="s">
        <v>49</v>
      </c>
      <c r="AF1037" s="5"/>
      <c r="AG1037" s="5"/>
      <c r="AH1037" s="5" t="s">
        <v>4274</v>
      </c>
    </row>
    <row r="1038" spans="2:34" ht="22.95" customHeight="1" outlineLevel="3" x14ac:dyDescent="0.2">
      <c r="B1038" s="74" t="s">
        <v>4283</v>
      </c>
      <c r="C1038" s="74"/>
      <c r="D1038" s="74"/>
    </row>
    <row r="1039" spans="2:34" ht="21" customHeight="1" outlineLevel="4" x14ac:dyDescent="0.2">
      <c r="B1039" s="4">
        <v>787</v>
      </c>
      <c r="C1039" s="5" t="s">
        <v>4284</v>
      </c>
      <c r="D1039" s="5" t="s">
        <v>4285</v>
      </c>
      <c r="E1039" s="6" t="s">
        <v>4286</v>
      </c>
      <c r="F1039" s="10"/>
      <c r="G1039" s="11" t="s">
        <v>4287</v>
      </c>
      <c r="H1039" s="12">
        <v>50</v>
      </c>
      <c r="I1039" s="13" t="s">
        <v>41</v>
      </c>
      <c r="J1039" s="13"/>
      <c r="K1039" s="13"/>
      <c r="L1039" s="4">
        <v>3</v>
      </c>
      <c r="M1039" s="14">
        <f>197*(1-P3/100)</f>
        <v>197</v>
      </c>
      <c r="N1039" s="15"/>
      <c r="O1039" s="13">
        <f>M1039*N1039</f>
        <v>0</v>
      </c>
      <c r="P1039" s="22">
        <f>0.069*N1039</f>
        <v>0</v>
      </c>
      <c r="Q1039" s="23">
        <f>0.00017*N1039</f>
        <v>0</v>
      </c>
      <c r="R1039" s="24"/>
      <c r="S1039" s="25" t="s">
        <v>4288</v>
      </c>
      <c r="T1039" s="25" t="s">
        <v>43</v>
      </c>
      <c r="U1039" s="5"/>
      <c r="V1039" s="5" t="s">
        <v>4289</v>
      </c>
      <c r="W1039" s="5" t="s">
        <v>46</v>
      </c>
      <c r="X1039" s="5"/>
      <c r="Y1039" s="5"/>
      <c r="Z1039" s="5" t="str">
        <f>HYPERLINK("https://knigipp.ru/api/getInfo/image/ce6ea4c3-c4ec-11ef-a268-00155d82e908")</f>
        <v>https://knigipp.ru/api/getInfo/image/ce6ea4c3-c4ec-11ef-a268-00155d82e908</v>
      </c>
      <c r="AA1039" s="33">
        <v>12</v>
      </c>
      <c r="AB1039" s="5" t="s">
        <v>47</v>
      </c>
      <c r="AC1039" s="5" t="s">
        <v>96</v>
      </c>
      <c r="AD1039" s="5"/>
      <c r="AE1039" s="5" t="s">
        <v>49</v>
      </c>
      <c r="AF1039" s="5"/>
      <c r="AG1039" s="5"/>
      <c r="AH1039" s="5" t="s">
        <v>472</v>
      </c>
    </row>
    <row r="1040" spans="2:34" ht="21" customHeight="1" outlineLevel="4" x14ac:dyDescent="0.2">
      <c r="B1040" s="4">
        <v>788</v>
      </c>
      <c r="C1040" s="5" t="s">
        <v>4290</v>
      </c>
      <c r="D1040" s="5" t="s">
        <v>4291</v>
      </c>
      <c r="E1040" s="6" t="s">
        <v>4292</v>
      </c>
      <c r="F1040" s="10"/>
      <c r="G1040" s="11" t="s">
        <v>4287</v>
      </c>
      <c r="H1040" s="12">
        <v>50</v>
      </c>
      <c r="I1040" s="13" t="s">
        <v>41</v>
      </c>
      <c r="J1040" s="13"/>
      <c r="K1040" s="13"/>
      <c r="L1040" s="4">
        <v>3</v>
      </c>
      <c r="M1040" s="14">
        <f>197*(1-P3/100)</f>
        <v>197</v>
      </c>
      <c r="N1040" s="15"/>
      <c r="O1040" s="13">
        <f>M1040*N1040</f>
        <v>0</v>
      </c>
      <c r="P1040" s="22">
        <f>0.069*N1040</f>
        <v>0</v>
      </c>
      <c r="Q1040" s="23">
        <f>0.00023*N1040</f>
        <v>0</v>
      </c>
      <c r="R1040" s="24"/>
      <c r="S1040" s="25" t="s">
        <v>4293</v>
      </c>
      <c r="T1040" s="25" t="s">
        <v>43</v>
      </c>
      <c r="U1040" s="5"/>
      <c r="V1040" s="5" t="s">
        <v>4294</v>
      </c>
      <c r="W1040" s="5" t="s">
        <v>46</v>
      </c>
      <c r="X1040" s="5"/>
      <c r="Y1040" s="5"/>
      <c r="Z1040" s="5" t="str">
        <f>HYPERLINK("https://knigipp.ru/api/getInfo/image/2cf8e9fa-c4ed-11ef-a268-00155d82e908")</f>
        <v>https://knigipp.ru/api/getInfo/image/2cf8e9fa-c4ed-11ef-a268-00155d82e908</v>
      </c>
      <c r="AA1040" s="33">
        <v>12</v>
      </c>
      <c r="AB1040" s="5" t="s">
        <v>47</v>
      </c>
      <c r="AC1040" s="5" t="s">
        <v>96</v>
      </c>
      <c r="AD1040" s="5"/>
      <c r="AE1040" s="5" t="s">
        <v>49</v>
      </c>
      <c r="AF1040" s="5"/>
      <c r="AG1040" s="5"/>
      <c r="AH1040" s="5" t="s">
        <v>472</v>
      </c>
    </row>
    <row r="1041" spans="2:34" ht="21" customHeight="1" outlineLevel="4" x14ac:dyDescent="0.2">
      <c r="B1041" s="4">
        <v>789</v>
      </c>
      <c r="C1041" s="5" t="s">
        <v>4295</v>
      </c>
      <c r="D1041" s="5" t="s">
        <v>4296</v>
      </c>
      <c r="E1041" s="6" t="s">
        <v>4297</v>
      </c>
      <c r="F1041" s="10"/>
      <c r="G1041" s="11" t="s">
        <v>4287</v>
      </c>
      <c r="H1041" s="12">
        <v>50</v>
      </c>
      <c r="I1041" s="13" t="s">
        <v>41</v>
      </c>
      <c r="J1041" s="13"/>
      <c r="K1041" s="13"/>
      <c r="L1041" s="4">
        <v>3</v>
      </c>
      <c r="M1041" s="14">
        <f>197*(1-P3/100)</f>
        <v>197</v>
      </c>
      <c r="N1041" s="15"/>
      <c r="O1041" s="13">
        <f>M1041*N1041</f>
        <v>0</v>
      </c>
      <c r="P1041" s="22">
        <f>0.066*N1041</f>
        <v>0</v>
      </c>
      <c r="Q1041" s="23">
        <f>0.00028*N1041</f>
        <v>0</v>
      </c>
      <c r="R1041" s="24"/>
      <c r="S1041" s="25" t="s">
        <v>4298</v>
      </c>
      <c r="T1041" s="25" t="s">
        <v>43</v>
      </c>
      <c r="U1041" s="5"/>
      <c r="V1041" s="5" t="s">
        <v>4299</v>
      </c>
      <c r="W1041" s="5" t="s">
        <v>46</v>
      </c>
      <c r="X1041" s="5"/>
      <c r="Y1041" s="5"/>
      <c r="Z1041" s="5" t="str">
        <f>HYPERLINK("https://knigipp.ru/api/getInfo/image/101d37fc-c4ed-11ef-a268-00155d82e908")</f>
        <v>https://knigipp.ru/api/getInfo/image/101d37fc-c4ed-11ef-a268-00155d82e908</v>
      </c>
      <c r="AA1041" s="33">
        <v>12</v>
      </c>
      <c r="AB1041" s="5" t="s">
        <v>47</v>
      </c>
      <c r="AC1041" s="5" t="s">
        <v>96</v>
      </c>
      <c r="AD1041" s="5"/>
      <c r="AE1041" s="5" t="s">
        <v>49</v>
      </c>
      <c r="AF1041" s="5"/>
      <c r="AG1041" s="5"/>
      <c r="AH1041" s="5" t="s">
        <v>472</v>
      </c>
    </row>
    <row r="1042" spans="2:34" ht="21" customHeight="1" outlineLevel="4" x14ac:dyDescent="0.2">
      <c r="B1042" s="4">
        <v>790</v>
      </c>
      <c r="C1042" s="5" t="s">
        <v>4300</v>
      </c>
      <c r="D1042" s="5" t="s">
        <v>4301</v>
      </c>
      <c r="E1042" s="6" t="s">
        <v>4302</v>
      </c>
      <c r="F1042" s="10"/>
      <c r="G1042" s="11" t="s">
        <v>4287</v>
      </c>
      <c r="H1042" s="12">
        <v>50</v>
      </c>
      <c r="I1042" s="13" t="s">
        <v>41</v>
      </c>
      <c r="J1042" s="13"/>
      <c r="K1042" s="13"/>
      <c r="L1042" s="4">
        <v>3</v>
      </c>
      <c r="M1042" s="14">
        <f>197*(1-P3/100)</f>
        <v>197</v>
      </c>
      <c r="N1042" s="15"/>
      <c r="O1042" s="13">
        <f>M1042*N1042</f>
        <v>0</v>
      </c>
      <c r="P1042" s="22">
        <f>0.065*N1042</f>
        <v>0</v>
      </c>
      <c r="Q1042" s="23">
        <f>0.00067*N1042</f>
        <v>0</v>
      </c>
      <c r="R1042" s="24"/>
      <c r="S1042" s="25" t="s">
        <v>4303</v>
      </c>
      <c r="T1042" s="25" t="s">
        <v>43</v>
      </c>
      <c r="U1042" s="5"/>
      <c r="V1042" s="5" t="s">
        <v>4304</v>
      </c>
      <c r="W1042" s="5" t="s">
        <v>46</v>
      </c>
      <c r="X1042" s="5"/>
      <c r="Y1042" s="5"/>
      <c r="Z1042" s="5" t="str">
        <f>HYPERLINK("https://knigipp.ru/api/getInfo/image/f2532ee8-c4ec-11ef-a268-00155d82e908")</f>
        <v>https://knigipp.ru/api/getInfo/image/f2532ee8-c4ec-11ef-a268-00155d82e908</v>
      </c>
      <c r="AA1042" s="33">
        <v>12</v>
      </c>
      <c r="AB1042" s="5" t="s">
        <v>47</v>
      </c>
      <c r="AC1042" s="5" t="s">
        <v>96</v>
      </c>
      <c r="AD1042" s="5"/>
      <c r="AE1042" s="5" t="s">
        <v>49</v>
      </c>
      <c r="AF1042" s="5"/>
      <c r="AG1042" s="5"/>
      <c r="AH1042" s="5" t="s">
        <v>472</v>
      </c>
    </row>
    <row r="1043" spans="2:34" ht="22.95" customHeight="1" outlineLevel="3" x14ac:dyDescent="0.2">
      <c r="B1043" s="74" t="s">
        <v>4305</v>
      </c>
      <c r="C1043" s="74"/>
      <c r="D1043" s="74"/>
    </row>
    <row r="1044" spans="2:34" ht="21" customHeight="1" outlineLevel="4" x14ac:dyDescent="0.2">
      <c r="B1044" s="4">
        <v>791</v>
      </c>
      <c r="C1044" s="5" t="s">
        <v>4306</v>
      </c>
      <c r="D1044" s="5" t="s">
        <v>4307</v>
      </c>
      <c r="E1044" s="6" t="s">
        <v>4308</v>
      </c>
      <c r="F1044" s="10"/>
      <c r="G1044" s="11" t="s">
        <v>4309</v>
      </c>
      <c r="H1044" s="12">
        <v>20</v>
      </c>
      <c r="I1044" s="13" t="s">
        <v>41</v>
      </c>
      <c r="J1044" s="13"/>
      <c r="K1044" s="13"/>
      <c r="L1044" s="4">
        <v>2</v>
      </c>
      <c r="M1044" s="14">
        <f>397*(1-P3/100)</f>
        <v>397</v>
      </c>
      <c r="N1044" s="15"/>
      <c r="O1044" s="13">
        <f>M1044*N1044</f>
        <v>0</v>
      </c>
      <c r="P1044" s="32">
        <f>0.24*N1044</f>
        <v>0</v>
      </c>
      <c r="Q1044" s="23">
        <f>0.00061*N1044</f>
        <v>0</v>
      </c>
      <c r="R1044" s="24"/>
      <c r="S1044" s="25" t="s">
        <v>4310</v>
      </c>
      <c r="T1044" s="25" t="s">
        <v>43</v>
      </c>
      <c r="U1044" s="5"/>
      <c r="V1044" s="5"/>
      <c r="W1044" s="5" t="s">
        <v>46</v>
      </c>
      <c r="X1044" s="5"/>
      <c r="Y1044" s="5"/>
      <c r="Z1044" s="5" t="str">
        <f>HYPERLINK("https://knigipp.ru/api/getInfo/image/c3c21edc-7fd0-11ef-a265-00155d82e908")</f>
        <v>https://knigipp.ru/api/getInfo/image/c3c21edc-7fd0-11ef-a265-00155d82e908</v>
      </c>
      <c r="AA1044" s="33">
        <v>16</v>
      </c>
      <c r="AB1044" s="5" t="s">
        <v>47</v>
      </c>
      <c r="AC1044" s="5" t="s">
        <v>96</v>
      </c>
      <c r="AD1044" s="5"/>
      <c r="AE1044" s="5" t="s">
        <v>49</v>
      </c>
      <c r="AF1044" s="5"/>
      <c r="AG1044" s="5"/>
      <c r="AH1044" s="5" t="s">
        <v>4311</v>
      </c>
    </row>
    <row r="1045" spans="2:34" ht="21" customHeight="1" outlineLevel="4" x14ac:dyDescent="0.2">
      <c r="B1045" s="4">
        <v>792</v>
      </c>
      <c r="C1045" s="5" t="s">
        <v>4312</v>
      </c>
      <c r="D1045" s="5" t="s">
        <v>4313</v>
      </c>
      <c r="E1045" s="6" t="s">
        <v>4314</v>
      </c>
      <c r="F1045" s="10"/>
      <c r="G1045" s="11" t="s">
        <v>4309</v>
      </c>
      <c r="H1045" s="12">
        <v>20</v>
      </c>
      <c r="I1045" s="13" t="s">
        <v>41</v>
      </c>
      <c r="J1045" s="13"/>
      <c r="K1045" s="13"/>
      <c r="L1045" s="4">
        <v>2</v>
      </c>
      <c r="M1045" s="14">
        <f>397*(1-P3/100)</f>
        <v>397</v>
      </c>
      <c r="N1045" s="15"/>
      <c r="O1045" s="13">
        <f>M1045*N1045</f>
        <v>0</v>
      </c>
      <c r="P1045" s="22">
        <f>0.246*N1045</f>
        <v>0</v>
      </c>
      <c r="Q1045" s="23">
        <f>0.00107*N1045</f>
        <v>0</v>
      </c>
      <c r="R1045" s="24"/>
      <c r="S1045" s="25" t="s">
        <v>4315</v>
      </c>
      <c r="T1045" s="25" t="s">
        <v>43</v>
      </c>
      <c r="U1045" s="5"/>
      <c r="V1045" s="5"/>
      <c r="W1045" s="5" t="s">
        <v>46</v>
      </c>
      <c r="X1045" s="5"/>
      <c r="Y1045" s="5"/>
      <c r="Z1045" s="5" t="str">
        <f>HYPERLINK("https://knigipp.ru/api/getInfo/image/970e1c5e-7fd0-11ef-a265-00155d82e908")</f>
        <v>https://knigipp.ru/api/getInfo/image/970e1c5e-7fd0-11ef-a265-00155d82e908</v>
      </c>
      <c r="AA1045" s="33">
        <v>16</v>
      </c>
      <c r="AB1045" s="5" t="s">
        <v>47</v>
      </c>
      <c r="AC1045" s="5" t="s">
        <v>96</v>
      </c>
      <c r="AD1045" s="5"/>
      <c r="AE1045" s="5" t="s">
        <v>49</v>
      </c>
      <c r="AF1045" s="5"/>
      <c r="AG1045" s="5"/>
      <c r="AH1045" s="5" t="s">
        <v>4311</v>
      </c>
    </row>
    <row r="1046" spans="2:34" ht="21" customHeight="1" outlineLevel="4" x14ac:dyDescent="0.2">
      <c r="B1046" s="4">
        <v>793</v>
      </c>
      <c r="C1046" s="5" t="s">
        <v>4316</v>
      </c>
      <c r="D1046" s="5" t="s">
        <v>4317</v>
      </c>
      <c r="E1046" s="6" t="s">
        <v>4318</v>
      </c>
      <c r="F1046" s="10"/>
      <c r="G1046" s="11" t="s">
        <v>4309</v>
      </c>
      <c r="H1046" s="12">
        <v>20</v>
      </c>
      <c r="I1046" s="13" t="s">
        <v>371</v>
      </c>
      <c r="J1046" s="13"/>
      <c r="K1046" s="13"/>
      <c r="L1046" s="4">
        <v>2</v>
      </c>
      <c r="M1046" s="14">
        <f>397*(1-P3/100)</f>
        <v>397</v>
      </c>
      <c r="N1046" s="15"/>
      <c r="O1046" s="13">
        <f>M1046*N1046</f>
        <v>0</v>
      </c>
      <c r="P1046" s="22">
        <f>0.236*N1046</f>
        <v>0</v>
      </c>
      <c r="Q1046" s="23">
        <f>0.00091*N1046</f>
        <v>0</v>
      </c>
      <c r="R1046" s="24"/>
      <c r="S1046" s="25" t="s">
        <v>4319</v>
      </c>
      <c r="T1046" s="25" t="s">
        <v>43</v>
      </c>
      <c r="U1046" s="5"/>
      <c r="V1046" s="5"/>
      <c r="W1046" s="5" t="s">
        <v>46</v>
      </c>
      <c r="X1046" s="5"/>
      <c r="Y1046" s="5"/>
      <c r="Z1046" s="5" t="str">
        <f>HYPERLINK("https://knigipp.ru/api/getInfo/image/74d5fb41-7fd0-11ef-a265-00155d82e908")</f>
        <v>https://knigipp.ru/api/getInfo/image/74d5fb41-7fd0-11ef-a265-00155d82e908</v>
      </c>
      <c r="AA1046" s="33">
        <v>16</v>
      </c>
      <c r="AB1046" s="5" t="s">
        <v>47</v>
      </c>
      <c r="AC1046" s="5" t="s">
        <v>96</v>
      </c>
      <c r="AD1046" s="5"/>
      <c r="AE1046" s="5" t="s">
        <v>49</v>
      </c>
      <c r="AF1046" s="5"/>
      <c r="AG1046" s="5"/>
      <c r="AH1046" s="5" t="s">
        <v>4311</v>
      </c>
    </row>
    <row r="1047" spans="2:34" ht="21" customHeight="1" outlineLevel="4" x14ac:dyDescent="0.2">
      <c r="B1047" s="4">
        <v>794</v>
      </c>
      <c r="C1047" s="5" t="s">
        <v>4320</v>
      </c>
      <c r="D1047" s="5" t="s">
        <v>4321</v>
      </c>
      <c r="E1047" s="6" t="s">
        <v>4322</v>
      </c>
      <c r="F1047" s="10"/>
      <c r="G1047" s="11" t="s">
        <v>4309</v>
      </c>
      <c r="H1047" s="12">
        <v>20</v>
      </c>
      <c r="I1047" s="13" t="s">
        <v>41</v>
      </c>
      <c r="J1047" s="13"/>
      <c r="K1047" s="13"/>
      <c r="L1047" s="4">
        <v>2</v>
      </c>
      <c r="M1047" s="14">
        <f>397*(1-P3/100)</f>
        <v>397</v>
      </c>
      <c r="N1047" s="15"/>
      <c r="O1047" s="13">
        <f>M1047*N1047</f>
        <v>0</v>
      </c>
      <c r="P1047" s="22">
        <f>0.243*N1047</f>
        <v>0</v>
      </c>
      <c r="Q1047" s="23">
        <f>0.00201*N1047</f>
        <v>0</v>
      </c>
      <c r="R1047" s="24"/>
      <c r="S1047" s="25" t="s">
        <v>4323</v>
      </c>
      <c r="T1047" s="25" t="s">
        <v>43</v>
      </c>
      <c r="U1047" s="5"/>
      <c r="V1047" s="5"/>
      <c r="W1047" s="5" t="s">
        <v>46</v>
      </c>
      <c r="X1047" s="5"/>
      <c r="Y1047" s="5"/>
      <c r="Z1047" s="5" t="str">
        <f>HYPERLINK("https://knigipp.ru/api/getInfo/image/5637a4d1-7fd0-11ef-a265-00155d82e908")</f>
        <v>https://knigipp.ru/api/getInfo/image/5637a4d1-7fd0-11ef-a265-00155d82e908</v>
      </c>
      <c r="AA1047" s="33">
        <v>16</v>
      </c>
      <c r="AB1047" s="5" t="s">
        <v>47</v>
      </c>
      <c r="AC1047" s="5" t="s">
        <v>96</v>
      </c>
      <c r="AD1047" s="5"/>
      <c r="AE1047" s="5" t="s">
        <v>49</v>
      </c>
      <c r="AF1047" s="5"/>
      <c r="AG1047" s="5"/>
      <c r="AH1047" s="5" t="s">
        <v>4311</v>
      </c>
    </row>
    <row r="1048" spans="2:34" ht="22.95" customHeight="1" outlineLevel="3" x14ac:dyDescent="0.2">
      <c r="B1048" s="74" t="s">
        <v>4324</v>
      </c>
      <c r="C1048" s="74"/>
      <c r="D1048" s="74"/>
    </row>
    <row r="1049" spans="2:34" ht="21" customHeight="1" outlineLevel="4" x14ac:dyDescent="0.2">
      <c r="B1049" s="4">
        <v>795</v>
      </c>
      <c r="C1049" s="5" t="s">
        <v>4325</v>
      </c>
      <c r="D1049" s="5" t="s">
        <v>4326</v>
      </c>
      <c r="E1049" s="6" t="s">
        <v>4327</v>
      </c>
      <c r="F1049" s="10"/>
      <c r="G1049" s="11"/>
      <c r="H1049" s="12">
        <v>30</v>
      </c>
      <c r="I1049" s="13" t="s">
        <v>371</v>
      </c>
      <c r="J1049" s="13"/>
      <c r="K1049" s="13"/>
      <c r="L1049" s="4">
        <v>8</v>
      </c>
      <c r="M1049" s="14">
        <f>79.88*(1-P3/100)</f>
        <v>79.88</v>
      </c>
      <c r="N1049" s="15"/>
      <c r="O1049" s="13">
        <f t="shared" ref="O1049:O1055" si="29">M1049*N1049</f>
        <v>0</v>
      </c>
      <c r="P1049" s="13">
        <v>0</v>
      </c>
      <c r="Q1049" s="13">
        <v>0</v>
      </c>
      <c r="R1049" s="24"/>
      <c r="S1049" s="25" t="s">
        <v>4328</v>
      </c>
      <c r="T1049" s="25" t="s">
        <v>43</v>
      </c>
      <c r="U1049" s="5"/>
      <c r="V1049" s="5"/>
      <c r="W1049" s="5" t="s">
        <v>46</v>
      </c>
      <c r="X1049" s="5"/>
      <c r="Y1049" s="5"/>
      <c r="Z1049" s="5" t="str">
        <f>HYPERLINK("https://knigipp.ru/api/getInfo/image/0e99ed93-c798-11eb-a207-ac1f6b442185")</f>
        <v>https://knigipp.ru/api/getInfo/image/0e99ed93-c798-11eb-a207-ac1f6b442185</v>
      </c>
      <c r="AA1049" s="33">
        <v>24</v>
      </c>
      <c r="AB1049" s="5"/>
      <c r="AC1049" s="5" t="s">
        <v>96</v>
      </c>
      <c r="AD1049" s="5"/>
      <c r="AE1049" s="5" t="s">
        <v>49</v>
      </c>
      <c r="AF1049" s="5"/>
      <c r="AG1049" s="5"/>
      <c r="AH1049" s="5" t="s">
        <v>4329</v>
      </c>
    </row>
    <row r="1050" spans="2:34" ht="21" customHeight="1" outlineLevel="4" x14ac:dyDescent="0.2">
      <c r="B1050" s="4">
        <v>796</v>
      </c>
      <c r="C1050" s="5" t="s">
        <v>4330</v>
      </c>
      <c r="D1050" s="5" t="s">
        <v>4331</v>
      </c>
      <c r="E1050" s="6" t="s">
        <v>4332</v>
      </c>
      <c r="F1050" s="10"/>
      <c r="G1050" s="11"/>
      <c r="H1050" s="12">
        <v>30</v>
      </c>
      <c r="I1050" s="13" t="s">
        <v>371</v>
      </c>
      <c r="J1050" s="13"/>
      <c r="K1050" s="13"/>
      <c r="L1050" s="4">
        <v>8</v>
      </c>
      <c r="M1050" s="14">
        <f>79.88*(1-P3/100)</f>
        <v>79.88</v>
      </c>
      <c r="N1050" s="15"/>
      <c r="O1050" s="13">
        <f t="shared" si="29"/>
        <v>0</v>
      </c>
      <c r="P1050" s="13">
        <v>0</v>
      </c>
      <c r="Q1050" s="13">
        <v>0</v>
      </c>
      <c r="R1050" s="24"/>
      <c r="S1050" s="25" t="s">
        <v>4333</v>
      </c>
      <c r="T1050" s="25" t="s">
        <v>43</v>
      </c>
      <c r="U1050" s="5"/>
      <c r="V1050" s="5"/>
      <c r="W1050" s="5" t="s">
        <v>46</v>
      </c>
      <c r="X1050" s="5"/>
      <c r="Y1050" s="5"/>
      <c r="Z1050" s="5" t="str">
        <f>HYPERLINK("https://knigipp.ru/api/getInfo/image/74a32677-c798-11eb-a207-ac1f6b442185")</f>
        <v>https://knigipp.ru/api/getInfo/image/74a32677-c798-11eb-a207-ac1f6b442185</v>
      </c>
      <c r="AA1050" s="33">
        <v>24</v>
      </c>
      <c r="AB1050" s="5"/>
      <c r="AC1050" s="5" t="s">
        <v>96</v>
      </c>
      <c r="AD1050" s="5"/>
      <c r="AE1050" s="5" t="s">
        <v>49</v>
      </c>
      <c r="AF1050" s="5"/>
      <c r="AG1050" s="5"/>
      <c r="AH1050" s="5" t="s">
        <v>4329</v>
      </c>
    </row>
    <row r="1051" spans="2:34" ht="21" customHeight="1" outlineLevel="4" x14ac:dyDescent="0.2">
      <c r="B1051" s="4">
        <v>797</v>
      </c>
      <c r="C1051" s="5" t="s">
        <v>4334</v>
      </c>
      <c r="D1051" s="5" t="s">
        <v>4335</v>
      </c>
      <c r="E1051" s="6" t="s">
        <v>4336</v>
      </c>
      <c r="F1051" s="10"/>
      <c r="G1051" s="11" t="s">
        <v>4337</v>
      </c>
      <c r="H1051" s="12">
        <v>30</v>
      </c>
      <c r="I1051" s="13" t="s">
        <v>371</v>
      </c>
      <c r="J1051" s="13"/>
      <c r="K1051" s="13"/>
      <c r="L1051" s="4">
        <v>8</v>
      </c>
      <c r="M1051" s="14">
        <f>79.88*(1-P3/100)</f>
        <v>79.88</v>
      </c>
      <c r="N1051" s="15"/>
      <c r="O1051" s="13">
        <f t="shared" si="29"/>
        <v>0</v>
      </c>
      <c r="P1051" s="13">
        <v>0</v>
      </c>
      <c r="Q1051" s="13">
        <v>0</v>
      </c>
      <c r="R1051" s="24"/>
      <c r="S1051" s="25" t="s">
        <v>4338</v>
      </c>
      <c r="T1051" s="25" t="s">
        <v>43</v>
      </c>
      <c r="U1051" s="5"/>
      <c r="V1051" s="5"/>
      <c r="W1051" s="5" t="s">
        <v>46</v>
      </c>
      <c r="X1051" s="5"/>
      <c r="Y1051" s="5"/>
      <c r="Z1051" s="5" t="str">
        <f>HYPERLINK("https://knigipp.ru/api/getInfo/image/ccb97015-c795-11eb-a207-ac1f6b442185")</f>
        <v>https://knigipp.ru/api/getInfo/image/ccb97015-c795-11eb-a207-ac1f6b442185</v>
      </c>
      <c r="AA1051" s="33">
        <v>24</v>
      </c>
      <c r="AB1051" s="5"/>
      <c r="AC1051" s="5" t="s">
        <v>96</v>
      </c>
      <c r="AD1051" s="5"/>
      <c r="AE1051" s="5" t="s">
        <v>49</v>
      </c>
      <c r="AF1051" s="5"/>
      <c r="AG1051" s="5"/>
      <c r="AH1051" s="5" t="s">
        <v>4329</v>
      </c>
    </row>
    <row r="1052" spans="2:34" ht="21" customHeight="1" outlineLevel="4" x14ac:dyDescent="0.2">
      <c r="B1052" s="4">
        <v>798</v>
      </c>
      <c r="C1052" s="5" t="s">
        <v>4339</v>
      </c>
      <c r="D1052" s="5" t="s">
        <v>4340</v>
      </c>
      <c r="E1052" s="6" t="s">
        <v>4341</v>
      </c>
      <c r="F1052" s="10"/>
      <c r="G1052" s="11" t="s">
        <v>4337</v>
      </c>
      <c r="H1052" s="12">
        <v>30</v>
      </c>
      <c r="I1052" s="13" t="s">
        <v>261</v>
      </c>
      <c r="J1052" s="13"/>
      <c r="K1052" s="13"/>
      <c r="L1052" s="4">
        <v>8</v>
      </c>
      <c r="M1052" s="14">
        <f>79.88*(1-P3/100)</f>
        <v>79.88</v>
      </c>
      <c r="N1052" s="15"/>
      <c r="O1052" s="13">
        <f t="shared" si="29"/>
        <v>0</v>
      </c>
      <c r="P1052" s="13">
        <v>0</v>
      </c>
      <c r="Q1052" s="13">
        <v>0</v>
      </c>
      <c r="R1052" s="24"/>
      <c r="S1052" s="25" t="s">
        <v>4342</v>
      </c>
      <c r="T1052" s="25" t="s">
        <v>43</v>
      </c>
      <c r="U1052" s="5"/>
      <c r="V1052" s="5"/>
      <c r="W1052" s="5" t="s">
        <v>46</v>
      </c>
      <c r="X1052" s="5"/>
      <c r="Y1052" s="5"/>
      <c r="Z1052" s="5" t="str">
        <f>HYPERLINK("https://knigipp.ru/api/getInfo/image/ed95a38a-c795-11eb-a207-ac1f6b442185")</f>
        <v>https://knigipp.ru/api/getInfo/image/ed95a38a-c795-11eb-a207-ac1f6b442185</v>
      </c>
      <c r="AA1052" s="33">
        <v>24</v>
      </c>
      <c r="AB1052" s="5"/>
      <c r="AC1052" s="5" t="s">
        <v>96</v>
      </c>
      <c r="AD1052" s="5"/>
      <c r="AE1052" s="5" t="s">
        <v>49</v>
      </c>
      <c r="AF1052" s="5"/>
      <c r="AG1052" s="5"/>
      <c r="AH1052" s="5" t="s">
        <v>4329</v>
      </c>
    </row>
    <row r="1053" spans="2:34" ht="21" customHeight="1" outlineLevel="4" x14ac:dyDescent="0.2">
      <c r="B1053" s="4">
        <v>799</v>
      </c>
      <c r="C1053" s="5" t="s">
        <v>4343</v>
      </c>
      <c r="D1053" s="5" t="s">
        <v>4344</v>
      </c>
      <c r="E1053" s="6" t="s">
        <v>4345</v>
      </c>
      <c r="F1053" s="10"/>
      <c r="G1053" s="11" t="s">
        <v>4337</v>
      </c>
      <c r="H1053" s="12">
        <v>30</v>
      </c>
      <c r="I1053" s="13" t="s">
        <v>261</v>
      </c>
      <c r="J1053" s="13"/>
      <c r="K1053" s="13"/>
      <c r="L1053" s="4">
        <v>8</v>
      </c>
      <c r="M1053" s="14">
        <f>79.88*(1-P3/100)</f>
        <v>79.88</v>
      </c>
      <c r="N1053" s="15"/>
      <c r="O1053" s="13">
        <f t="shared" si="29"/>
        <v>0</v>
      </c>
      <c r="P1053" s="13">
        <v>0</v>
      </c>
      <c r="Q1053" s="13">
        <v>0</v>
      </c>
      <c r="R1053" s="24"/>
      <c r="S1053" s="25" t="s">
        <v>4346</v>
      </c>
      <c r="T1053" s="25" t="s">
        <v>43</v>
      </c>
      <c r="U1053" s="5"/>
      <c r="V1053" s="5"/>
      <c r="W1053" s="5" t="s">
        <v>46</v>
      </c>
      <c r="X1053" s="5"/>
      <c r="Y1053" s="5"/>
      <c r="Z1053" s="5" t="str">
        <f>HYPERLINK("https://knigipp.ru/api/getInfo/image/3104c453-c796-11eb-a207-ac1f6b442185")</f>
        <v>https://knigipp.ru/api/getInfo/image/3104c453-c796-11eb-a207-ac1f6b442185</v>
      </c>
      <c r="AA1053" s="33">
        <v>24</v>
      </c>
      <c r="AB1053" s="5"/>
      <c r="AC1053" s="5" t="s">
        <v>96</v>
      </c>
      <c r="AD1053" s="5"/>
      <c r="AE1053" s="5" t="s">
        <v>49</v>
      </c>
      <c r="AF1053" s="5"/>
      <c r="AG1053" s="5"/>
      <c r="AH1053" s="5" t="s">
        <v>4329</v>
      </c>
    </row>
    <row r="1054" spans="2:34" ht="21" customHeight="1" outlineLevel="4" x14ac:dyDescent="0.2">
      <c r="B1054" s="4">
        <v>800</v>
      </c>
      <c r="C1054" s="5" t="s">
        <v>4347</v>
      </c>
      <c r="D1054" s="5" t="s">
        <v>4348</v>
      </c>
      <c r="E1054" s="6" t="s">
        <v>4349</v>
      </c>
      <c r="F1054" s="10"/>
      <c r="G1054" s="11"/>
      <c r="H1054" s="12">
        <v>30</v>
      </c>
      <c r="I1054" s="13" t="s">
        <v>371</v>
      </c>
      <c r="J1054" s="13"/>
      <c r="K1054" s="13"/>
      <c r="L1054" s="4">
        <v>8</v>
      </c>
      <c r="M1054" s="14">
        <f>79.88*(1-P3/100)</f>
        <v>79.88</v>
      </c>
      <c r="N1054" s="15"/>
      <c r="O1054" s="13">
        <f t="shared" si="29"/>
        <v>0</v>
      </c>
      <c r="P1054" s="13">
        <v>0</v>
      </c>
      <c r="Q1054" s="13">
        <v>0</v>
      </c>
      <c r="R1054" s="24"/>
      <c r="S1054" s="25" t="s">
        <v>4350</v>
      </c>
      <c r="T1054" s="25" t="s">
        <v>43</v>
      </c>
      <c r="U1054" s="5"/>
      <c r="V1054" s="5"/>
      <c r="W1054" s="5" t="s">
        <v>46</v>
      </c>
      <c r="X1054" s="5"/>
      <c r="Y1054" s="5"/>
      <c r="Z1054" s="5" t="str">
        <f>HYPERLINK("https://knigipp.ru/api/getInfo/image/15e2fb00-c796-11eb-a207-ac1f6b442185")</f>
        <v>https://knigipp.ru/api/getInfo/image/15e2fb00-c796-11eb-a207-ac1f6b442185</v>
      </c>
      <c r="AA1054" s="33">
        <v>24</v>
      </c>
      <c r="AB1054" s="5"/>
      <c r="AC1054" s="5" t="s">
        <v>96</v>
      </c>
      <c r="AD1054" s="5"/>
      <c r="AE1054" s="5" t="s">
        <v>49</v>
      </c>
      <c r="AF1054" s="5"/>
      <c r="AG1054" s="5"/>
      <c r="AH1054" s="5" t="s">
        <v>4329</v>
      </c>
    </row>
    <row r="1055" spans="2:34" ht="21" customHeight="1" outlineLevel="4" x14ac:dyDescent="0.2">
      <c r="B1055" s="4">
        <v>801</v>
      </c>
      <c r="C1055" s="5" t="s">
        <v>4351</v>
      </c>
      <c r="D1055" s="5" t="s">
        <v>4352</v>
      </c>
      <c r="E1055" s="6" t="s">
        <v>4353</v>
      </c>
      <c r="F1055" s="10"/>
      <c r="G1055" s="11"/>
      <c r="H1055" s="12">
        <v>30</v>
      </c>
      <c r="I1055" s="13" t="s">
        <v>371</v>
      </c>
      <c r="J1055" s="13"/>
      <c r="K1055" s="13"/>
      <c r="L1055" s="4">
        <v>8</v>
      </c>
      <c r="M1055" s="14">
        <f>79.88*(1-P3/100)</f>
        <v>79.88</v>
      </c>
      <c r="N1055" s="15"/>
      <c r="O1055" s="13">
        <f t="shared" si="29"/>
        <v>0</v>
      </c>
      <c r="P1055" s="22">
        <f>0.065*N1055</f>
        <v>0</v>
      </c>
      <c r="Q1055" s="23">
        <f>0.00022*N1055</f>
        <v>0</v>
      </c>
      <c r="R1055" s="24"/>
      <c r="S1055" s="25" t="s">
        <v>4354</v>
      </c>
      <c r="T1055" s="25" t="s">
        <v>43</v>
      </c>
      <c r="U1055" s="5"/>
      <c r="V1055" s="5"/>
      <c r="W1055" s="5" t="s">
        <v>46</v>
      </c>
      <c r="X1055" s="5"/>
      <c r="Y1055" s="5"/>
      <c r="Z1055" s="5" t="str">
        <f>HYPERLINK("https://knigipp.ru/api/getInfo/image/a1d4c6ce-c797-11eb-a207-ac1f6b442185")</f>
        <v>https://knigipp.ru/api/getInfo/image/a1d4c6ce-c797-11eb-a207-ac1f6b442185</v>
      </c>
      <c r="AA1055" s="33">
        <v>24</v>
      </c>
      <c r="AB1055" s="5"/>
      <c r="AC1055" s="5" t="s">
        <v>96</v>
      </c>
      <c r="AD1055" s="5"/>
      <c r="AE1055" s="5" t="s">
        <v>49</v>
      </c>
      <c r="AF1055" s="5"/>
      <c r="AG1055" s="5"/>
      <c r="AH1055" s="5" t="s">
        <v>4329</v>
      </c>
    </row>
    <row r="1056" spans="2:34" ht="22.95" customHeight="1" outlineLevel="3" x14ac:dyDescent="0.2">
      <c r="B1056" s="74" t="s">
        <v>4355</v>
      </c>
      <c r="C1056" s="74"/>
      <c r="D1056" s="74"/>
    </row>
    <row r="1057" spans="2:34" ht="21" customHeight="1" outlineLevel="4" x14ac:dyDescent="0.2">
      <c r="B1057" s="4">
        <v>802</v>
      </c>
      <c r="C1057" s="5" t="s">
        <v>4356</v>
      </c>
      <c r="D1057" s="5" t="s">
        <v>4357</v>
      </c>
      <c r="E1057" s="6" t="s">
        <v>4358</v>
      </c>
      <c r="F1057" s="10"/>
      <c r="G1057" s="11" t="s">
        <v>4359</v>
      </c>
      <c r="H1057" s="12">
        <v>25</v>
      </c>
      <c r="I1057" s="13" t="s">
        <v>261</v>
      </c>
      <c r="J1057" s="13"/>
      <c r="K1057" s="13"/>
      <c r="L1057" s="4">
        <v>5</v>
      </c>
      <c r="M1057" s="14">
        <f>129*(1-P3/100)</f>
        <v>129</v>
      </c>
      <c r="N1057" s="15"/>
      <c r="O1057" s="13">
        <f>M1057*N1057</f>
        <v>0</v>
      </c>
      <c r="P1057" s="22">
        <f>0.061*N1057</f>
        <v>0</v>
      </c>
      <c r="Q1057" s="23">
        <f>0.00028*N1057</f>
        <v>0</v>
      </c>
      <c r="R1057" s="24"/>
      <c r="S1057" s="25" t="s">
        <v>4360</v>
      </c>
      <c r="T1057" s="25" t="s">
        <v>43</v>
      </c>
      <c r="U1057" s="5"/>
      <c r="V1057" s="5"/>
      <c r="W1057" s="5" t="s">
        <v>46</v>
      </c>
      <c r="X1057" s="5"/>
      <c r="Y1057" s="5"/>
      <c r="Z1057" s="5" t="str">
        <f>HYPERLINK("https://knigipp.ru/api/getInfo/image/60ef7674-4436-11ea-a240-ac1f6b442184")</f>
        <v>https://knigipp.ru/api/getInfo/image/60ef7674-4436-11ea-a240-ac1f6b442184</v>
      </c>
      <c r="AA1057" s="33">
        <v>16</v>
      </c>
      <c r="AB1057" s="5"/>
      <c r="AC1057" s="5" t="s">
        <v>96</v>
      </c>
      <c r="AD1057" s="5"/>
      <c r="AE1057" s="5" t="s">
        <v>49</v>
      </c>
      <c r="AF1057" s="5"/>
      <c r="AG1057" s="5"/>
      <c r="AH1057" s="5" t="s">
        <v>472</v>
      </c>
    </row>
    <row r="1058" spans="2:34" ht="21" customHeight="1" outlineLevel="4" x14ac:dyDescent="0.2">
      <c r="B1058" s="4">
        <v>803</v>
      </c>
      <c r="C1058" s="5" t="s">
        <v>4361</v>
      </c>
      <c r="D1058" s="5" t="s">
        <v>4362</v>
      </c>
      <c r="E1058" s="6" t="s">
        <v>4363</v>
      </c>
      <c r="F1058" s="10"/>
      <c r="G1058" s="11" t="s">
        <v>4359</v>
      </c>
      <c r="H1058" s="12">
        <v>25</v>
      </c>
      <c r="I1058" s="13" t="s">
        <v>261</v>
      </c>
      <c r="J1058" s="13"/>
      <c r="K1058" s="13"/>
      <c r="L1058" s="4">
        <v>5</v>
      </c>
      <c r="M1058" s="14">
        <f>129*(1-P3/100)</f>
        <v>129</v>
      </c>
      <c r="N1058" s="15"/>
      <c r="O1058" s="13">
        <f>M1058*N1058</f>
        <v>0</v>
      </c>
      <c r="P1058" s="22">
        <f>0.092*N1058</f>
        <v>0</v>
      </c>
      <c r="Q1058" s="23">
        <f>0.00011*N1058</f>
        <v>0</v>
      </c>
      <c r="R1058" s="24"/>
      <c r="S1058" s="25" t="s">
        <v>4364</v>
      </c>
      <c r="T1058" s="25" t="s">
        <v>43</v>
      </c>
      <c r="U1058" s="5"/>
      <c r="V1058" s="5"/>
      <c r="W1058" s="5" t="s">
        <v>46</v>
      </c>
      <c r="X1058" s="5"/>
      <c r="Y1058" s="5"/>
      <c r="Z1058" s="5" t="str">
        <f>HYPERLINK("https://knigipp.ru/api/getInfo/image/9550571e-4436-11ea-a240-ac1f6b442184")</f>
        <v>https://knigipp.ru/api/getInfo/image/9550571e-4436-11ea-a240-ac1f6b442184</v>
      </c>
      <c r="AA1058" s="33">
        <v>16</v>
      </c>
      <c r="AB1058" s="5"/>
      <c r="AC1058" s="5" t="s">
        <v>96</v>
      </c>
      <c r="AD1058" s="5"/>
      <c r="AE1058" s="5" t="s">
        <v>49</v>
      </c>
      <c r="AF1058" s="5"/>
      <c r="AG1058" s="5"/>
      <c r="AH1058" s="5" t="s">
        <v>472</v>
      </c>
    </row>
    <row r="1059" spans="2:34" ht="22.95" customHeight="1" outlineLevel="3" x14ac:dyDescent="0.2">
      <c r="B1059" s="74" t="s">
        <v>4365</v>
      </c>
      <c r="C1059" s="74"/>
      <c r="D1059" s="74"/>
    </row>
    <row r="1060" spans="2:34" ht="21" customHeight="1" outlineLevel="4" x14ac:dyDescent="0.2">
      <c r="B1060" s="4">
        <v>804</v>
      </c>
      <c r="C1060" s="5" t="s">
        <v>4366</v>
      </c>
      <c r="D1060" s="5" t="s">
        <v>4367</v>
      </c>
      <c r="E1060" s="6" t="s">
        <v>4368</v>
      </c>
      <c r="F1060" s="10"/>
      <c r="G1060" s="11" t="s">
        <v>4369</v>
      </c>
      <c r="H1060" s="12">
        <v>30</v>
      </c>
      <c r="I1060" s="13" t="s">
        <v>41</v>
      </c>
      <c r="J1060" s="13"/>
      <c r="K1060" s="13"/>
      <c r="L1060" s="4">
        <v>3</v>
      </c>
      <c r="M1060" s="14">
        <f>239*(1-P3/100)</f>
        <v>239</v>
      </c>
      <c r="N1060" s="15"/>
      <c r="O1060" s="13">
        <f t="shared" ref="O1060:O1066" si="30">M1060*N1060</f>
        <v>0</v>
      </c>
      <c r="P1060" s="22">
        <f>0.077*N1060</f>
        <v>0</v>
      </c>
      <c r="Q1060" s="23">
        <f>0.00022*N1060</f>
        <v>0</v>
      </c>
      <c r="R1060" s="24"/>
      <c r="S1060" s="25" t="s">
        <v>4370</v>
      </c>
      <c r="T1060" s="25" t="s">
        <v>43</v>
      </c>
      <c r="U1060" s="5"/>
      <c r="V1060" s="5"/>
      <c r="W1060" s="5" t="s">
        <v>46</v>
      </c>
      <c r="X1060" s="5"/>
      <c r="Y1060" s="5"/>
      <c r="Z1060" s="5" t="str">
        <f>HYPERLINK("https://knigipp.ru/api/getInfo/image/a357771d-ffb4-11ed-a23a-00155d82e902")</f>
        <v>https://knigipp.ru/api/getInfo/image/a357771d-ffb4-11ed-a23a-00155d82e902</v>
      </c>
      <c r="AA1060" s="33">
        <v>16</v>
      </c>
      <c r="AB1060" s="5" t="s">
        <v>47</v>
      </c>
      <c r="AC1060" s="5" t="s">
        <v>96</v>
      </c>
      <c r="AD1060" s="5"/>
      <c r="AE1060" s="5" t="s">
        <v>49</v>
      </c>
      <c r="AF1060" s="5"/>
      <c r="AG1060" s="5"/>
      <c r="AH1060" s="5" t="s">
        <v>472</v>
      </c>
    </row>
    <row r="1061" spans="2:34" ht="21" customHeight="1" outlineLevel="4" x14ac:dyDescent="0.2">
      <c r="B1061" s="4">
        <v>805</v>
      </c>
      <c r="C1061" s="5" t="s">
        <v>4371</v>
      </c>
      <c r="D1061" s="5" t="s">
        <v>4372</v>
      </c>
      <c r="E1061" s="6" t="s">
        <v>4373</v>
      </c>
      <c r="F1061" s="10"/>
      <c r="G1061" s="11" t="s">
        <v>4374</v>
      </c>
      <c r="H1061" s="12">
        <v>30</v>
      </c>
      <c r="I1061" s="13" t="s">
        <v>41</v>
      </c>
      <c r="J1061" s="13"/>
      <c r="K1061" s="13"/>
      <c r="L1061" s="4">
        <v>3</v>
      </c>
      <c r="M1061" s="14">
        <f>239*(1-P3/100)</f>
        <v>239</v>
      </c>
      <c r="N1061" s="15"/>
      <c r="O1061" s="13">
        <f t="shared" si="30"/>
        <v>0</v>
      </c>
      <c r="P1061" s="22">
        <f>0.084*N1061</f>
        <v>0</v>
      </c>
      <c r="Q1061" s="23">
        <f>0.00011*N1061</f>
        <v>0</v>
      </c>
      <c r="R1061" s="24"/>
      <c r="S1061" s="25" t="s">
        <v>4375</v>
      </c>
      <c r="T1061" s="25" t="s">
        <v>43</v>
      </c>
      <c r="U1061" s="5"/>
      <c r="V1061" s="5" t="s">
        <v>4376</v>
      </c>
      <c r="W1061" s="5" t="s">
        <v>46</v>
      </c>
      <c r="X1061" s="5"/>
      <c r="Y1061" s="5"/>
      <c r="Z1061" s="5" t="str">
        <f>HYPERLINK("https://knigipp.ru/api/getInfo/image/d8fbac4d-dfda-11ef-a273-00155d82e908")</f>
        <v>https://knigipp.ru/api/getInfo/image/d8fbac4d-dfda-11ef-a273-00155d82e908</v>
      </c>
      <c r="AA1061" s="33">
        <v>16</v>
      </c>
      <c r="AB1061" s="5" t="s">
        <v>47</v>
      </c>
      <c r="AC1061" s="5" t="s">
        <v>96</v>
      </c>
      <c r="AD1061" s="5"/>
      <c r="AE1061" s="5" t="s">
        <v>49</v>
      </c>
      <c r="AF1061" s="5"/>
      <c r="AG1061" s="5"/>
      <c r="AH1061" s="5" t="s">
        <v>472</v>
      </c>
    </row>
    <row r="1062" spans="2:34" ht="21" customHeight="1" outlineLevel="4" x14ac:dyDescent="0.2">
      <c r="B1062" s="4">
        <v>806</v>
      </c>
      <c r="C1062" s="5" t="s">
        <v>4377</v>
      </c>
      <c r="D1062" s="5" t="s">
        <v>4378</v>
      </c>
      <c r="E1062" s="6" t="s">
        <v>4379</v>
      </c>
      <c r="F1062" s="10"/>
      <c r="G1062" s="11" t="s">
        <v>4369</v>
      </c>
      <c r="H1062" s="12">
        <v>30</v>
      </c>
      <c r="I1062" s="13" t="s">
        <v>41</v>
      </c>
      <c r="J1062" s="13"/>
      <c r="K1062" s="13"/>
      <c r="L1062" s="4">
        <v>3</v>
      </c>
      <c r="M1062" s="14">
        <f>239*(1-P3/100)</f>
        <v>239</v>
      </c>
      <c r="N1062" s="15"/>
      <c r="O1062" s="13">
        <f t="shared" si="30"/>
        <v>0</v>
      </c>
      <c r="P1062" s="22">
        <f>0.079*N1062</f>
        <v>0</v>
      </c>
      <c r="Q1062" s="23">
        <f>0.00017*N1062</f>
        <v>0</v>
      </c>
      <c r="R1062" s="24"/>
      <c r="S1062" s="25" t="s">
        <v>4380</v>
      </c>
      <c r="T1062" s="25" t="s">
        <v>43</v>
      </c>
      <c r="U1062" s="5"/>
      <c r="V1062" s="5"/>
      <c r="W1062" s="5" t="s">
        <v>46</v>
      </c>
      <c r="X1062" s="5"/>
      <c r="Y1062" s="5"/>
      <c r="Z1062" s="5" t="str">
        <f>HYPERLINK("https://knigipp.ru/api/getInfo/image/c3f044c8-ffb4-11ed-a23a-00155d82e902")</f>
        <v>https://knigipp.ru/api/getInfo/image/c3f044c8-ffb4-11ed-a23a-00155d82e902</v>
      </c>
      <c r="AA1062" s="33">
        <v>16</v>
      </c>
      <c r="AB1062" s="5" t="s">
        <v>47</v>
      </c>
      <c r="AC1062" s="5" t="s">
        <v>96</v>
      </c>
      <c r="AD1062" s="5"/>
      <c r="AE1062" s="5" t="s">
        <v>49</v>
      </c>
      <c r="AF1062" s="5"/>
      <c r="AG1062" s="5"/>
      <c r="AH1062" s="5" t="s">
        <v>472</v>
      </c>
    </row>
    <row r="1063" spans="2:34" ht="21" customHeight="1" outlineLevel="4" x14ac:dyDescent="0.2">
      <c r="B1063" s="4">
        <v>807</v>
      </c>
      <c r="C1063" s="5" t="s">
        <v>4381</v>
      </c>
      <c r="D1063" s="5" t="s">
        <v>4382</v>
      </c>
      <c r="E1063" s="6" t="s">
        <v>4383</v>
      </c>
      <c r="F1063" s="10"/>
      <c r="G1063" s="11" t="s">
        <v>4369</v>
      </c>
      <c r="H1063" s="12">
        <v>30</v>
      </c>
      <c r="I1063" s="13" t="s">
        <v>261</v>
      </c>
      <c r="J1063" s="13"/>
      <c r="K1063" s="13"/>
      <c r="L1063" s="4">
        <v>3</v>
      </c>
      <c r="M1063" s="14">
        <f>239*(1-P3/100)</f>
        <v>239</v>
      </c>
      <c r="N1063" s="15"/>
      <c r="O1063" s="13">
        <f t="shared" si="30"/>
        <v>0</v>
      </c>
      <c r="P1063" s="22">
        <f>0.082*N1063</f>
        <v>0</v>
      </c>
      <c r="Q1063" s="23">
        <f>0.00022*N1063</f>
        <v>0</v>
      </c>
      <c r="R1063" s="24"/>
      <c r="S1063" s="25" t="s">
        <v>4384</v>
      </c>
      <c r="T1063" s="25" t="s">
        <v>43</v>
      </c>
      <c r="U1063" s="5"/>
      <c r="V1063" s="5"/>
      <c r="W1063" s="5" t="s">
        <v>46</v>
      </c>
      <c r="X1063" s="5"/>
      <c r="Y1063" s="5"/>
      <c r="Z1063" s="5" t="str">
        <f>HYPERLINK("https://knigipp.ru/api/getInfo/image/715dd867-ffb4-11ed-a23a-00155d82e902")</f>
        <v>https://knigipp.ru/api/getInfo/image/715dd867-ffb4-11ed-a23a-00155d82e902</v>
      </c>
      <c r="AA1063" s="33">
        <v>16</v>
      </c>
      <c r="AB1063" s="5" t="s">
        <v>47</v>
      </c>
      <c r="AC1063" s="5" t="s">
        <v>96</v>
      </c>
      <c r="AD1063" s="5"/>
      <c r="AE1063" s="5" t="s">
        <v>49</v>
      </c>
      <c r="AF1063" s="5"/>
      <c r="AG1063" s="5"/>
      <c r="AH1063" s="5" t="s">
        <v>472</v>
      </c>
    </row>
    <row r="1064" spans="2:34" ht="21" customHeight="1" outlineLevel="4" x14ac:dyDescent="0.2">
      <c r="B1064" s="4">
        <v>808</v>
      </c>
      <c r="C1064" s="5" t="s">
        <v>4385</v>
      </c>
      <c r="D1064" s="5" t="s">
        <v>4386</v>
      </c>
      <c r="E1064" s="6" t="s">
        <v>4387</v>
      </c>
      <c r="F1064" s="10"/>
      <c r="G1064" s="11" t="s">
        <v>4374</v>
      </c>
      <c r="H1064" s="12">
        <v>30</v>
      </c>
      <c r="I1064" s="13" t="s">
        <v>41</v>
      </c>
      <c r="J1064" s="13"/>
      <c r="K1064" s="13"/>
      <c r="L1064" s="4">
        <v>3</v>
      </c>
      <c r="M1064" s="14">
        <f>239*(1-P3/100)</f>
        <v>239</v>
      </c>
      <c r="N1064" s="15"/>
      <c r="O1064" s="13">
        <f t="shared" si="30"/>
        <v>0</v>
      </c>
      <c r="P1064" s="22">
        <f>0.081*N1064</f>
        <v>0</v>
      </c>
      <c r="Q1064" s="23">
        <f>0.00022*N1064</f>
        <v>0</v>
      </c>
      <c r="R1064" s="24"/>
      <c r="S1064" s="25" t="s">
        <v>4388</v>
      </c>
      <c r="T1064" s="25" t="s">
        <v>43</v>
      </c>
      <c r="U1064" s="5"/>
      <c r="V1064" s="5" t="s">
        <v>4376</v>
      </c>
      <c r="W1064" s="5" t="s">
        <v>46</v>
      </c>
      <c r="X1064" s="5"/>
      <c r="Y1064" s="5"/>
      <c r="Z1064" s="5" t="str">
        <f>HYPERLINK("https://knigipp.ru/api/getInfo/image/b1546454-dfda-11ef-a273-00155d82e908")</f>
        <v>https://knigipp.ru/api/getInfo/image/b1546454-dfda-11ef-a273-00155d82e908</v>
      </c>
      <c r="AA1064" s="33">
        <v>16</v>
      </c>
      <c r="AB1064" s="5" t="s">
        <v>47</v>
      </c>
      <c r="AC1064" s="5" t="s">
        <v>96</v>
      </c>
      <c r="AD1064" s="5"/>
      <c r="AE1064" s="5" t="s">
        <v>49</v>
      </c>
      <c r="AF1064" s="5"/>
      <c r="AG1064" s="5"/>
      <c r="AH1064" s="5" t="s">
        <v>472</v>
      </c>
    </row>
    <row r="1065" spans="2:34" ht="21" customHeight="1" outlineLevel="4" x14ac:dyDescent="0.2">
      <c r="B1065" s="4">
        <v>809</v>
      </c>
      <c r="C1065" s="5" t="s">
        <v>4389</v>
      </c>
      <c r="D1065" s="5" t="s">
        <v>4390</v>
      </c>
      <c r="E1065" s="6" t="s">
        <v>4391</v>
      </c>
      <c r="F1065" s="10"/>
      <c r="G1065" s="11" t="s">
        <v>4374</v>
      </c>
      <c r="H1065" s="12">
        <v>30</v>
      </c>
      <c r="I1065" s="13" t="s">
        <v>41</v>
      </c>
      <c r="J1065" s="13"/>
      <c r="K1065" s="13"/>
      <c r="L1065" s="4">
        <v>3</v>
      </c>
      <c r="M1065" s="14">
        <f>239*(1-P3/100)</f>
        <v>239</v>
      </c>
      <c r="N1065" s="15"/>
      <c r="O1065" s="13">
        <f t="shared" si="30"/>
        <v>0</v>
      </c>
      <c r="P1065" s="22">
        <f>0.085*N1065</f>
        <v>0</v>
      </c>
      <c r="Q1065" s="23">
        <f>0.00006*N1065</f>
        <v>0</v>
      </c>
      <c r="R1065" s="24"/>
      <c r="S1065" s="25" t="s">
        <v>4392</v>
      </c>
      <c r="T1065" s="25" t="s">
        <v>43</v>
      </c>
      <c r="U1065" s="5"/>
      <c r="V1065" s="5" t="s">
        <v>4376</v>
      </c>
      <c r="W1065" s="5" t="s">
        <v>46</v>
      </c>
      <c r="X1065" s="5"/>
      <c r="Y1065" s="5"/>
      <c r="Z1065" s="5" t="str">
        <f>HYPERLINK("https://knigipp.ru/api/getInfo/image/8f0957ce-dfda-11ef-a273-00155d82e908")</f>
        <v>https://knigipp.ru/api/getInfo/image/8f0957ce-dfda-11ef-a273-00155d82e908</v>
      </c>
      <c r="AA1065" s="33">
        <v>16</v>
      </c>
      <c r="AB1065" s="5" t="s">
        <v>47</v>
      </c>
      <c r="AC1065" s="5" t="s">
        <v>96</v>
      </c>
      <c r="AD1065" s="5"/>
      <c r="AE1065" s="5" t="s">
        <v>49</v>
      </c>
      <c r="AF1065" s="5"/>
      <c r="AG1065" s="5"/>
      <c r="AH1065" s="5" t="s">
        <v>472</v>
      </c>
    </row>
    <row r="1066" spans="2:34" ht="21" customHeight="1" outlineLevel="4" x14ac:dyDescent="0.2">
      <c r="B1066" s="4">
        <v>810</v>
      </c>
      <c r="C1066" s="5" t="s">
        <v>4393</v>
      </c>
      <c r="D1066" s="5" t="s">
        <v>4394</v>
      </c>
      <c r="E1066" s="6" t="s">
        <v>4395</v>
      </c>
      <c r="F1066" s="10"/>
      <c r="G1066" s="11" t="s">
        <v>4374</v>
      </c>
      <c r="H1066" s="12">
        <v>30</v>
      </c>
      <c r="I1066" s="13" t="s">
        <v>41</v>
      </c>
      <c r="J1066" s="13"/>
      <c r="K1066" s="13"/>
      <c r="L1066" s="4">
        <v>3</v>
      </c>
      <c r="M1066" s="14">
        <f>239*(1-P3/100)</f>
        <v>239</v>
      </c>
      <c r="N1066" s="15"/>
      <c r="O1066" s="13">
        <f t="shared" si="30"/>
        <v>0</v>
      </c>
      <c r="P1066" s="22">
        <f>0.169*N1066</f>
        <v>0</v>
      </c>
      <c r="Q1066" s="23">
        <f>0.00034*N1066</f>
        <v>0</v>
      </c>
      <c r="R1066" s="24"/>
      <c r="S1066" s="25" t="s">
        <v>4396</v>
      </c>
      <c r="T1066" s="25" t="s">
        <v>43</v>
      </c>
      <c r="U1066" s="5"/>
      <c r="V1066" s="5" t="s">
        <v>4376</v>
      </c>
      <c r="W1066" s="5" t="s">
        <v>46</v>
      </c>
      <c r="X1066" s="5"/>
      <c r="Y1066" s="5"/>
      <c r="Z1066" s="5" t="str">
        <f>HYPERLINK("https://knigipp.ru/api/getInfo/image/feb7c461-dfda-11ef-a273-00155d82e908")</f>
        <v>https://knigipp.ru/api/getInfo/image/feb7c461-dfda-11ef-a273-00155d82e908</v>
      </c>
      <c r="AA1066" s="33">
        <v>16</v>
      </c>
      <c r="AB1066" s="5" t="s">
        <v>47</v>
      </c>
      <c r="AC1066" s="5" t="s">
        <v>96</v>
      </c>
      <c r="AD1066" s="5"/>
      <c r="AE1066" s="5" t="s">
        <v>49</v>
      </c>
      <c r="AF1066" s="5"/>
      <c r="AG1066" s="5"/>
      <c r="AH1066" s="5" t="s">
        <v>472</v>
      </c>
    </row>
    <row r="1067" spans="2:34" ht="22.95" customHeight="1" outlineLevel="3" x14ac:dyDescent="0.2">
      <c r="B1067" s="74" t="s">
        <v>4397</v>
      </c>
      <c r="C1067" s="74"/>
      <c r="D1067" s="74"/>
    </row>
    <row r="1068" spans="2:34" ht="21" customHeight="1" outlineLevel="4" x14ac:dyDescent="0.2">
      <c r="B1068" s="4">
        <v>811</v>
      </c>
      <c r="C1068" s="5" t="s">
        <v>4398</v>
      </c>
      <c r="D1068" s="5" t="s">
        <v>4399</v>
      </c>
      <c r="E1068" s="6" t="s">
        <v>4400</v>
      </c>
      <c r="F1068" s="10"/>
      <c r="G1068" s="11" t="s">
        <v>4401</v>
      </c>
      <c r="H1068" s="12">
        <v>50</v>
      </c>
      <c r="I1068" s="13" t="s">
        <v>41</v>
      </c>
      <c r="J1068" s="13"/>
      <c r="K1068" s="13"/>
      <c r="L1068" s="4">
        <v>3</v>
      </c>
      <c r="M1068" s="14">
        <f>237*(1-P3/100)</f>
        <v>237</v>
      </c>
      <c r="N1068" s="15"/>
      <c r="O1068" s="13">
        <f>M1068*N1068</f>
        <v>0</v>
      </c>
      <c r="P1068" s="32">
        <f>0.07*N1068</f>
        <v>0</v>
      </c>
      <c r="Q1068" s="23">
        <f>0.00017*N1068</f>
        <v>0</v>
      </c>
      <c r="R1068" s="24"/>
      <c r="S1068" s="25" t="s">
        <v>4402</v>
      </c>
      <c r="T1068" s="25" t="s">
        <v>94</v>
      </c>
      <c r="U1068" s="5"/>
      <c r="V1068" s="5"/>
      <c r="W1068" s="5" t="s">
        <v>46</v>
      </c>
      <c r="X1068" s="5"/>
      <c r="Y1068" s="5"/>
      <c r="Z1068" s="5" t="str">
        <f>HYPERLINK("https://knigipp.ru/api/getInfo/image/f044f25f-d2fd-11ea-a250-ac1f6b442184")</f>
        <v>https://knigipp.ru/api/getInfo/image/f044f25f-d2fd-11ea-a250-ac1f6b442184</v>
      </c>
      <c r="AA1068" s="33">
        <v>4</v>
      </c>
      <c r="AB1068" s="5"/>
      <c r="AC1068" s="5" t="s">
        <v>96</v>
      </c>
      <c r="AD1068" s="5"/>
      <c r="AE1068" s="5" t="s">
        <v>49</v>
      </c>
      <c r="AF1068" s="5"/>
      <c r="AG1068" s="5"/>
      <c r="AH1068" s="5" t="s">
        <v>4403</v>
      </c>
    </row>
    <row r="1069" spans="2:34" ht="21" customHeight="1" outlineLevel="4" x14ac:dyDescent="0.2">
      <c r="B1069" s="4">
        <v>812</v>
      </c>
      <c r="C1069" s="5" t="s">
        <v>4404</v>
      </c>
      <c r="D1069" s="5" t="s">
        <v>4405</v>
      </c>
      <c r="E1069" s="6" t="s">
        <v>4406</v>
      </c>
      <c r="F1069" s="10"/>
      <c r="G1069" s="11" t="s">
        <v>4401</v>
      </c>
      <c r="H1069" s="12">
        <v>50</v>
      </c>
      <c r="I1069" s="13" t="s">
        <v>41</v>
      </c>
      <c r="J1069" s="13"/>
      <c r="K1069" s="13"/>
      <c r="L1069" s="4">
        <v>3</v>
      </c>
      <c r="M1069" s="14">
        <f>237*(1-P3/100)</f>
        <v>237</v>
      </c>
      <c r="N1069" s="15"/>
      <c r="O1069" s="13">
        <f>M1069*N1069</f>
        <v>0</v>
      </c>
      <c r="P1069" s="32">
        <f>0.07*N1069</f>
        <v>0</v>
      </c>
      <c r="Q1069" s="23">
        <f>0.00017*N1069</f>
        <v>0</v>
      </c>
      <c r="R1069" s="24"/>
      <c r="S1069" s="25" t="s">
        <v>4407</v>
      </c>
      <c r="T1069" s="25" t="s">
        <v>94</v>
      </c>
      <c r="U1069" s="5"/>
      <c r="V1069" s="5"/>
      <c r="W1069" s="5" t="s">
        <v>46</v>
      </c>
      <c r="X1069" s="5"/>
      <c r="Y1069" s="5"/>
      <c r="Z1069" s="5" t="str">
        <f>HYPERLINK("https://knigipp.ru/api/getInfo/image/d41a8c62-d2fd-11ea-a250-ac1f6b442184")</f>
        <v>https://knigipp.ru/api/getInfo/image/d41a8c62-d2fd-11ea-a250-ac1f6b442184</v>
      </c>
      <c r="AA1069" s="33">
        <v>4</v>
      </c>
      <c r="AB1069" s="5"/>
      <c r="AC1069" s="5" t="s">
        <v>96</v>
      </c>
      <c r="AD1069" s="5"/>
      <c r="AE1069" s="5" t="s">
        <v>49</v>
      </c>
      <c r="AF1069" s="5"/>
      <c r="AG1069" s="5"/>
      <c r="AH1069" s="5" t="s">
        <v>4403</v>
      </c>
    </row>
    <row r="1070" spans="2:34" ht="22.95" customHeight="1" outlineLevel="3" x14ac:dyDescent="0.2">
      <c r="B1070" s="74" t="s">
        <v>4408</v>
      </c>
      <c r="C1070" s="74"/>
      <c r="D1070" s="74"/>
    </row>
    <row r="1071" spans="2:34" ht="21" customHeight="1" outlineLevel="4" x14ac:dyDescent="0.2">
      <c r="B1071" s="4">
        <v>813</v>
      </c>
      <c r="C1071" s="5" t="s">
        <v>4409</v>
      </c>
      <c r="D1071" s="5" t="s">
        <v>4410</v>
      </c>
      <c r="E1071" s="6" t="s">
        <v>4411</v>
      </c>
      <c r="F1071" s="10"/>
      <c r="G1071" s="11" t="s">
        <v>4412</v>
      </c>
      <c r="H1071" s="12">
        <v>25</v>
      </c>
      <c r="I1071" s="13" t="s">
        <v>4413</v>
      </c>
      <c r="J1071" s="13"/>
      <c r="K1071" s="13"/>
      <c r="L1071" s="4">
        <v>3</v>
      </c>
      <c r="M1071" s="14">
        <f>217*(1-P3/100)</f>
        <v>217</v>
      </c>
      <c r="N1071" s="15"/>
      <c r="O1071" s="13">
        <f>M1071*N1071</f>
        <v>0</v>
      </c>
      <c r="P1071" s="22">
        <f>0.087*N1071</f>
        <v>0</v>
      </c>
      <c r="Q1071" s="23">
        <f>0.00006*N1071</f>
        <v>0</v>
      </c>
      <c r="R1071" s="24"/>
      <c r="S1071" s="25" t="s">
        <v>4414</v>
      </c>
      <c r="T1071" s="25" t="s">
        <v>43</v>
      </c>
      <c r="U1071" s="5"/>
      <c r="V1071" s="5" t="s">
        <v>4415</v>
      </c>
      <c r="W1071" s="5" t="s">
        <v>46</v>
      </c>
      <c r="X1071" s="5"/>
      <c r="Y1071" s="5"/>
      <c r="Z1071" s="5" t="str">
        <f>HYPERLINK("https://knigipp.ru/api/getInfo/image/ef438aeb-8412-11f0-a284-00155d82e908")</f>
        <v>https://knigipp.ru/api/getInfo/image/ef438aeb-8412-11f0-a284-00155d82e908</v>
      </c>
      <c r="AA1071" s="33">
        <v>16</v>
      </c>
      <c r="AB1071" s="5"/>
      <c r="AC1071" s="5" t="s">
        <v>96</v>
      </c>
      <c r="AD1071" s="5"/>
      <c r="AE1071" s="5" t="s">
        <v>49</v>
      </c>
      <c r="AF1071" s="5"/>
      <c r="AG1071" s="5"/>
      <c r="AH1071" s="5" t="s">
        <v>534</v>
      </c>
    </row>
    <row r="1072" spans="2:34" ht="21" customHeight="1" outlineLevel="4" x14ac:dyDescent="0.2">
      <c r="B1072" s="4">
        <v>814</v>
      </c>
      <c r="C1072" s="5" t="s">
        <v>4416</v>
      </c>
      <c r="D1072" s="5" t="s">
        <v>4417</v>
      </c>
      <c r="E1072" s="6" t="s">
        <v>4418</v>
      </c>
      <c r="F1072" s="10"/>
      <c r="G1072" s="11" t="s">
        <v>4412</v>
      </c>
      <c r="H1072" s="12">
        <v>25</v>
      </c>
      <c r="I1072" s="13" t="s">
        <v>4413</v>
      </c>
      <c r="J1072" s="13"/>
      <c r="K1072" s="13"/>
      <c r="L1072" s="4">
        <v>3</v>
      </c>
      <c r="M1072" s="14">
        <f>217*(1-P3/100)</f>
        <v>217</v>
      </c>
      <c r="N1072" s="15"/>
      <c r="O1072" s="13">
        <f>M1072*N1072</f>
        <v>0</v>
      </c>
      <c r="P1072" s="22">
        <f>0.081*N1072</f>
        <v>0</v>
      </c>
      <c r="Q1072" s="23">
        <f>0.00011*N1072</f>
        <v>0</v>
      </c>
      <c r="R1072" s="24"/>
      <c r="S1072" s="25" t="s">
        <v>4419</v>
      </c>
      <c r="T1072" s="25" t="s">
        <v>43</v>
      </c>
      <c r="U1072" s="5"/>
      <c r="V1072" s="5" t="s">
        <v>4420</v>
      </c>
      <c r="W1072" s="5" t="s">
        <v>46</v>
      </c>
      <c r="X1072" s="5"/>
      <c r="Y1072" s="5"/>
      <c r="Z1072" s="5" t="str">
        <f>HYPERLINK("https://knigipp.ru/api/getInfo/image/0d710387-8413-11f0-a284-00155d82e908")</f>
        <v>https://knigipp.ru/api/getInfo/image/0d710387-8413-11f0-a284-00155d82e908</v>
      </c>
      <c r="AA1072" s="33">
        <v>16</v>
      </c>
      <c r="AB1072" s="5"/>
      <c r="AC1072" s="5" t="s">
        <v>96</v>
      </c>
      <c r="AD1072" s="5"/>
      <c r="AE1072" s="5" t="s">
        <v>49</v>
      </c>
      <c r="AF1072" s="5"/>
      <c r="AG1072" s="5"/>
      <c r="AH1072" s="5" t="s">
        <v>534</v>
      </c>
    </row>
    <row r="1073" spans="2:34" ht="21" customHeight="1" outlineLevel="4" x14ac:dyDescent="0.2">
      <c r="B1073" s="4">
        <v>815</v>
      </c>
      <c r="C1073" s="5" t="s">
        <v>4421</v>
      </c>
      <c r="D1073" s="5" t="s">
        <v>4422</v>
      </c>
      <c r="E1073" s="6" t="s">
        <v>4423</v>
      </c>
      <c r="F1073" s="10"/>
      <c r="G1073" s="11" t="s">
        <v>4412</v>
      </c>
      <c r="H1073" s="12">
        <v>25</v>
      </c>
      <c r="I1073" s="13" t="s">
        <v>4413</v>
      </c>
      <c r="J1073" s="13"/>
      <c r="K1073" s="13"/>
      <c r="L1073" s="4">
        <v>3</v>
      </c>
      <c r="M1073" s="14">
        <f>217*(1-P3/100)</f>
        <v>217</v>
      </c>
      <c r="N1073" s="15"/>
      <c r="O1073" s="13">
        <f>M1073*N1073</f>
        <v>0</v>
      </c>
      <c r="P1073" s="22">
        <f>0.083*N1073</f>
        <v>0</v>
      </c>
      <c r="Q1073" s="23">
        <f>0.00022*N1073</f>
        <v>0</v>
      </c>
      <c r="R1073" s="24"/>
      <c r="S1073" s="25" t="s">
        <v>4424</v>
      </c>
      <c r="T1073" s="25" t="s">
        <v>43</v>
      </c>
      <c r="U1073" s="5"/>
      <c r="V1073" s="5" t="s">
        <v>4425</v>
      </c>
      <c r="W1073" s="5" t="s">
        <v>46</v>
      </c>
      <c r="X1073" s="5"/>
      <c r="Y1073" s="5"/>
      <c r="Z1073" s="5" t="str">
        <f>HYPERLINK("https://knigipp.ru/api/getInfo/image/2a912a0b-8413-11f0-a284-00155d82e908")</f>
        <v>https://knigipp.ru/api/getInfo/image/2a912a0b-8413-11f0-a284-00155d82e908</v>
      </c>
      <c r="AA1073" s="33">
        <v>16</v>
      </c>
      <c r="AB1073" s="5"/>
      <c r="AC1073" s="5" t="s">
        <v>96</v>
      </c>
      <c r="AD1073" s="5"/>
      <c r="AE1073" s="5" t="s">
        <v>49</v>
      </c>
      <c r="AF1073" s="5"/>
      <c r="AG1073" s="5"/>
      <c r="AH1073" s="5" t="s">
        <v>534</v>
      </c>
    </row>
    <row r="1074" spans="2:34" ht="21" customHeight="1" outlineLevel="4" x14ac:dyDescent="0.2">
      <c r="B1074" s="4">
        <v>816</v>
      </c>
      <c r="C1074" s="5" t="s">
        <v>4426</v>
      </c>
      <c r="D1074" s="5" t="s">
        <v>4427</v>
      </c>
      <c r="E1074" s="6" t="s">
        <v>4428</v>
      </c>
      <c r="F1074" s="10"/>
      <c r="G1074" s="11" t="s">
        <v>4412</v>
      </c>
      <c r="H1074" s="12">
        <v>25</v>
      </c>
      <c r="I1074" s="13" t="s">
        <v>4413</v>
      </c>
      <c r="J1074" s="13"/>
      <c r="K1074" s="13"/>
      <c r="L1074" s="4">
        <v>3</v>
      </c>
      <c r="M1074" s="14">
        <f>217*(1-P3/100)</f>
        <v>217</v>
      </c>
      <c r="N1074" s="15"/>
      <c r="O1074" s="13">
        <f>M1074*N1074</f>
        <v>0</v>
      </c>
      <c r="P1074" s="22">
        <f>0.084*N1074</f>
        <v>0</v>
      </c>
      <c r="Q1074" s="23">
        <f>0.00017*N1074</f>
        <v>0</v>
      </c>
      <c r="R1074" s="24"/>
      <c r="S1074" s="25" t="s">
        <v>4429</v>
      </c>
      <c r="T1074" s="25" t="s">
        <v>43</v>
      </c>
      <c r="U1074" s="5"/>
      <c r="V1074" s="5" t="s">
        <v>4430</v>
      </c>
      <c r="W1074" s="5" t="s">
        <v>46</v>
      </c>
      <c r="X1074" s="5"/>
      <c r="Y1074" s="5"/>
      <c r="Z1074" s="5" t="str">
        <f>HYPERLINK("https://knigipp.ru/api/getInfo/image/cbee0481-8412-11f0-a284-00155d82e908")</f>
        <v>https://knigipp.ru/api/getInfo/image/cbee0481-8412-11f0-a284-00155d82e908</v>
      </c>
      <c r="AA1074" s="33">
        <v>16</v>
      </c>
      <c r="AB1074" s="5"/>
      <c r="AC1074" s="5" t="s">
        <v>96</v>
      </c>
      <c r="AD1074" s="5"/>
      <c r="AE1074" s="5" t="s">
        <v>49</v>
      </c>
      <c r="AF1074" s="5"/>
      <c r="AG1074" s="5"/>
      <c r="AH1074" s="5" t="s">
        <v>534</v>
      </c>
    </row>
    <row r="1075" spans="2:34" ht="22.95" customHeight="1" outlineLevel="3" x14ac:dyDescent="0.2">
      <c r="B1075" s="74" t="s">
        <v>4431</v>
      </c>
      <c r="C1075" s="74"/>
      <c r="D1075" s="74"/>
    </row>
    <row r="1076" spans="2:34" ht="21" customHeight="1" outlineLevel="4" x14ac:dyDescent="0.2">
      <c r="B1076" s="4">
        <v>817</v>
      </c>
      <c r="C1076" s="5" t="s">
        <v>4432</v>
      </c>
      <c r="D1076" s="5" t="s">
        <v>4433</v>
      </c>
      <c r="E1076" s="6" t="s">
        <v>4434</v>
      </c>
      <c r="F1076" s="10"/>
      <c r="G1076" s="11" t="s">
        <v>4435</v>
      </c>
      <c r="H1076" s="12">
        <v>30</v>
      </c>
      <c r="I1076" s="13" t="s">
        <v>41</v>
      </c>
      <c r="J1076" s="13"/>
      <c r="K1076" s="13"/>
      <c r="L1076" s="4">
        <v>7</v>
      </c>
      <c r="M1076" s="14">
        <f>99*(1-P3/100)</f>
        <v>99</v>
      </c>
      <c r="N1076" s="15"/>
      <c r="O1076" s="13">
        <f>M1076*N1076</f>
        <v>0</v>
      </c>
      <c r="P1076" s="22">
        <f>0.046*N1076</f>
        <v>0</v>
      </c>
      <c r="Q1076" s="23">
        <f>0.00008*N1076</f>
        <v>0</v>
      </c>
      <c r="R1076" s="24"/>
      <c r="S1076" s="25" t="s">
        <v>4436</v>
      </c>
      <c r="T1076" s="25" t="s">
        <v>43</v>
      </c>
      <c r="U1076" s="5"/>
      <c r="V1076" s="5" t="s">
        <v>4437</v>
      </c>
      <c r="W1076" s="5" t="s">
        <v>46</v>
      </c>
      <c r="X1076" s="5"/>
      <c r="Y1076" s="5"/>
      <c r="Z1076" s="5" t="str">
        <f>HYPERLINK("https://knigipp.ru/api/getInfo/image/3a9a89c2-3d5c-11f0-a27c-00155d82e908")</f>
        <v>https://knigipp.ru/api/getInfo/image/3a9a89c2-3d5c-11f0-a27c-00155d82e908</v>
      </c>
      <c r="AA1076" s="33">
        <v>10</v>
      </c>
      <c r="AB1076" s="5"/>
      <c r="AC1076" s="5" t="s">
        <v>96</v>
      </c>
      <c r="AD1076" s="5"/>
      <c r="AE1076" s="5" t="s">
        <v>49</v>
      </c>
      <c r="AF1076" s="5"/>
      <c r="AG1076" s="5"/>
      <c r="AH1076" s="5" t="s">
        <v>4438</v>
      </c>
    </row>
    <row r="1077" spans="2:34" ht="21" customHeight="1" outlineLevel="4" x14ac:dyDescent="0.2">
      <c r="B1077" s="4">
        <v>818</v>
      </c>
      <c r="C1077" s="5" t="s">
        <v>4439</v>
      </c>
      <c r="D1077" s="5" t="s">
        <v>4440</v>
      </c>
      <c r="E1077" s="6" t="s">
        <v>4441</v>
      </c>
      <c r="F1077" s="10"/>
      <c r="G1077" s="11" t="s">
        <v>4435</v>
      </c>
      <c r="H1077" s="12">
        <v>30</v>
      </c>
      <c r="I1077" s="13" t="s">
        <v>41</v>
      </c>
      <c r="J1077" s="13"/>
      <c r="K1077" s="13"/>
      <c r="L1077" s="4">
        <v>7</v>
      </c>
      <c r="M1077" s="14">
        <f>99*(1-P3/100)</f>
        <v>99</v>
      </c>
      <c r="N1077" s="15"/>
      <c r="O1077" s="13">
        <f>M1077*N1077</f>
        <v>0</v>
      </c>
      <c r="P1077" s="22">
        <f>0.046*N1077</f>
        <v>0</v>
      </c>
      <c r="Q1077" s="23">
        <f>0.00008*N1077</f>
        <v>0</v>
      </c>
      <c r="R1077" s="24"/>
      <c r="S1077" s="25" t="s">
        <v>4442</v>
      </c>
      <c r="T1077" s="25" t="s">
        <v>43</v>
      </c>
      <c r="U1077" s="5"/>
      <c r="V1077" s="5" t="s">
        <v>4443</v>
      </c>
      <c r="W1077" s="5" t="s">
        <v>46</v>
      </c>
      <c r="X1077" s="5"/>
      <c r="Y1077" s="5"/>
      <c r="Z1077" s="5" t="str">
        <f>HYPERLINK("https://knigipp.ru/api/getInfo/image/61b4ac4e-3d5c-11f0-a27c-00155d82e908")</f>
        <v>https://knigipp.ru/api/getInfo/image/61b4ac4e-3d5c-11f0-a27c-00155d82e908</v>
      </c>
      <c r="AA1077" s="33">
        <v>10</v>
      </c>
      <c r="AB1077" s="5"/>
      <c r="AC1077" s="5" t="s">
        <v>96</v>
      </c>
      <c r="AD1077" s="5"/>
      <c r="AE1077" s="5" t="s">
        <v>49</v>
      </c>
      <c r="AF1077" s="5"/>
      <c r="AG1077" s="5"/>
      <c r="AH1077" s="5" t="s">
        <v>4438</v>
      </c>
    </row>
    <row r="1078" spans="2:34" ht="21" customHeight="1" outlineLevel="4" x14ac:dyDescent="0.2">
      <c r="B1078" s="4">
        <v>819</v>
      </c>
      <c r="C1078" s="5" t="s">
        <v>4444</v>
      </c>
      <c r="D1078" s="5" t="s">
        <v>4445</v>
      </c>
      <c r="E1078" s="6" t="s">
        <v>4446</v>
      </c>
      <c r="F1078" s="10"/>
      <c r="G1078" s="11" t="s">
        <v>4435</v>
      </c>
      <c r="H1078" s="12">
        <v>30</v>
      </c>
      <c r="I1078" s="13" t="s">
        <v>41</v>
      </c>
      <c r="J1078" s="13"/>
      <c r="K1078" s="13"/>
      <c r="L1078" s="4">
        <v>7</v>
      </c>
      <c r="M1078" s="14">
        <f>99*(1-P3/100)</f>
        <v>99</v>
      </c>
      <c r="N1078" s="15"/>
      <c r="O1078" s="13">
        <f>M1078*N1078</f>
        <v>0</v>
      </c>
      <c r="P1078" s="22">
        <f>0.046*N1078</f>
        <v>0</v>
      </c>
      <c r="Q1078" s="23">
        <f>0.00008*N1078</f>
        <v>0</v>
      </c>
      <c r="R1078" s="24"/>
      <c r="S1078" s="25" t="s">
        <v>4447</v>
      </c>
      <c r="T1078" s="25" t="s">
        <v>43</v>
      </c>
      <c r="U1078" s="5"/>
      <c r="V1078" s="5" t="s">
        <v>4448</v>
      </c>
      <c r="W1078" s="5" t="s">
        <v>46</v>
      </c>
      <c r="X1078" s="5"/>
      <c r="Y1078" s="5"/>
      <c r="Z1078" s="5" t="str">
        <f>HYPERLINK("https://knigipp.ru/api/getInfo/image/864abaf4-3d5c-11f0-a27c-00155d82e908")</f>
        <v>https://knigipp.ru/api/getInfo/image/864abaf4-3d5c-11f0-a27c-00155d82e908</v>
      </c>
      <c r="AA1078" s="33">
        <v>40</v>
      </c>
      <c r="AB1078" s="5"/>
      <c r="AC1078" s="5" t="s">
        <v>96</v>
      </c>
      <c r="AD1078" s="5"/>
      <c r="AE1078" s="5" t="s">
        <v>49</v>
      </c>
      <c r="AF1078" s="5"/>
      <c r="AG1078" s="5"/>
      <c r="AH1078" s="5" t="s">
        <v>4438</v>
      </c>
    </row>
    <row r="1079" spans="2:34" ht="21" customHeight="1" outlineLevel="4" x14ac:dyDescent="0.2">
      <c r="B1079" s="4">
        <v>820</v>
      </c>
      <c r="C1079" s="5" t="s">
        <v>4449</v>
      </c>
      <c r="D1079" s="5" t="s">
        <v>4450</v>
      </c>
      <c r="E1079" s="6" t="s">
        <v>4451</v>
      </c>
      <c r="F1079" s="10"/>
      <c r="G1079" s="11" t="s">
        <v>4435</v>
      </c>
      <c r="H1079" s="12">
        <v>30</v>
      </c>
      <c r="I1079" s="13" t="s">
        <v>41</v>
      </c>
      <c r="J1079" s="13"/>
      <c r="K1079" s="13"/>
      <c r="L1079" s="4">
        <v>7</v>
      </c>
      <c r="M1079" s="14">
        <f>99*(1-P3/100)</f>
        <v>99</v>
      </c>
      <c r="N1079" s="15"/>
      <c r="O1079" s="13">
        <f>M1079*N1079</f>
        <v>0</v>
      </c>
      <c r="P1079" s="22">
        <f>0.046*N1079</f>
        <v>0</v>
      </c>
      <c r="Q1079" s="23">
        <f>0.00008*N1079</f>
        <v>0</v>
      </c>
      <c r="R1079" s="24"/>
      <c r="S1079" s="25" t="s">
        <v>4452</v>
      </c>
      <c r="T1079" s="25" t="s">
        <v>43</v>
      </c>
      <c r="U1079" s="5"/>
      <c r="V1079" s="5" t="s">
        <v>4453</v>
      </c>
      <c r="W1079" s="5" t="s">
        <v>46</v>
      </c>
      <c r="X1079" s="5"/>
      <c r="Y1079" s="5"/>
      <c r="Z1079" s="5" t="str">
        <f>HYPERLINK("https://knigipp.ru/api/getInfo/image/a1d3e0db-3d5c-11f0-a27c-00155d82e908")</f>
        <v>https://knigipp.ru/api/getInfo/image/a1d3e0db-3d5c-11f0-a27c-00155d82e908</v>
      </c>
      <c r="AA1079" s="33">
        <v>10</v>
      </c>
      <c r="AB1079" s="5"/>
      <c r="AC1079" s="5" t="s">
        <v>96</v>
      </c>
      <c r="AD1079" s="5"/>
      <c r="AE1079" s="5" t="s">
        <v>49</v>
      </c>
      <c r="AF1079" s="5"/>
      <c r="AG1079" s="5"/>
      <c r="AH1079" s="5" t="s">
        <v>4438</v>
      </c>
    </row>
    <row r="1080" spans="2:34" ht="22.95" customHeight="1" outlineLevel="3" x14ac:dyDescent="0.2">
      <c r="B1080" s="74" t="s">
        <v>4454</v>
      </c>
      <c r="C1080" s="74"/>
      <c r="D1080" s="74"/>
    </row>
    <row r="1081" spans="2:34" ht="21" customHeight="1" outlineLevel="4" x14ac:dyDescent="0.2">
      <c r="B1081" s="4">
        <v>821</v>
      </c>
      <c r="C1081" s="5" t="s">
        <v>4455</v>
      </c>
      <c r="D1081" s="5" t="s">
        <v>4456</v>
      </c>
      <c r="E1081" s="6" t="s">
        <v>4457</v>
      </c>
      <c r="F1081" s="10"/>
      <c r="G1081" s="11" t="s">
        <v>4458</v>
      </c>
      <c r="H1081" s="12">
        <v>50</v>
      </c>
      <c r="I1081" s="13" t="s">
        <v>261</v>
      </c>
      <c r="J1081" s="13"/>
      <c r="K1081" s="13"/>
      <c r="L1081" s="4">
        <v>8</v>
      </c>
      <c r="M1081" s="14">
        <f>71.36*(1-P3/100)</f>
        <v>71.36</v>
      </c>
      <c r="N1081" s="15"/>
      <c r="O1081" s="13">
        <f>M1081*N1081</f>
        <v>0</v>
      </c>
      <c r="P1081" s="32">
        <f>0.06*N1081</f>
        <v>0</v>
      </c>
      <c r="Q1081" s="23">
        <f>0.00005*N1081</f>
        <v>0</v>
      </c>
      <c r="R1081" s="24"/>
      <c r="S1081" s="25" t="s">
        <v>4459</v>
      </c>
      <c r="T1081" s="25" t="s">
        <v>43</v>
      </c>
      <c r="U1081" s="5"/>
      <c r="V1081" s="5"/>
      <c r="W1081" s="5" t="s">
        <v>46</v>
      </c>
      <c r="X1081" s="5"/>
      <c r="Y1081" s="5"/>
      <c r="Z1081" s="5" t="str">
        <f>HYPERLINK("https://knigipp.ru/api/getInfo/image/8f86a3b2-20d8-11ea-a237-ac1f6b442184")</f>
        <v>https://knigipp.ru/api/getInfo/image/8f86a3b2-20d8-11ea-a237-ac1f6b442184</v>
      </c>
      <c r="AA1081" s="33">
        <v>8</v>
      </c>
      <c r="AB1081" s="5"/>
      <c r="AC1081" s="5" t="s">
        <v>96</v>
      </c>
      <c r="AD1081" s="5"/>
      <c r="AE1081" s="5" t="s">
        <v>49</v>
      </c>
      <c r="AF1081" s="5"/>
      <c r="AG1081" s="5"/>
      <c r="AH1081" s="5" t="s">
        <v>238</v>
      </c>
    </row>
    <row r="1082" spans="2:34" ht="22.95" customHeight="1" outlineLevel="2" x14ac:dyDescent="0.2">
      <c r="B1082" s="73" t="s">
        <v>4460</v>
      </c>
      <c r="C1082" s="73"/>
      <c r="D1082" s="73"/>
    </row>
    <row r="1083" spans="2:34" ht="22.95" customHeight="1" outlineLevel="3" x14ac:dyDescent="0.2">
      <c r="B1083" s="74" t="s">
        <v>4461</v>
      </c>
      <c r="C1083" s="74"/>
      <c r="D1083" s="74"/>
    </row>
    <row r="1084" spans="2:34" ht="21" customHeight="1" outlineLevel="4" x14ac:dyDescent="0.2">
      <c r="B1084" s="4">
        <v>822</v>
      </c>
      <c r="C1084" s="5" t="s">
        <v>4462</v>
      </c>
      <c r="D1084" s="5" t="s">
        <v>4463</v>
      </c>
      <c r="E1084" s="6" t="s">
        <v>4464</v>
      </c>
      <c r="F1084" s="10"/>
      <c r="G1084" s="11" t="s">
        <v>4465</v>
      </c>
      <c r="H1084" s="12">
        <v>50</v>
      </c>
      <c r="I1084" s="13" t="s">
        <v>41</v>
      </c>
      <c r="J1084" s="13"/>
      <c r="K1084" s="13"/>
      <c r="L1084" s="4">
        <v>10</v>
      </c>
      <c r="M1084" s="14">
        <f>62.66*(1-P3/100)</f>
        <v>62.66</v>
      </c>
      <c r="N1084" s="15"/>
      <c r="O1084" s="13">
        <f>M1084*N1084</f>
        <v>0</v>
      </c>
      <c r="P1084" s="22">
        <f>0.066*N1084</f>
        <v>0</v>
      </c>
      <c r="Q1084" s="23">
        <f>0.00011*N1084</f>
        <v>0</v>
      </c>
      <c r="R1084" s="24"/>
      <c r="S1084" s="25" t="s">
        <v>4466</v>
      </c>
      <c r="T1084" s="25" t="s">
        <v>43</v>
      </c>
      <c r="U1084" s="5"/>
      <c r="V1084" s="5"/>
      <c r="W1084" s="5" t="s">
        <v>46</v>
      </c>
      <c r="X1084" s="5" t="s">
        <v>4467</v>
      </c>
      <c r="Y1084" s="5"/>
      <c r="Z1084" s="5" t="str">
        <f>HYPERLINK("https://knigipp.ru/api/getInfo/image/1d575b0c-d04c-11e7-9263-5cf3fc4a2490")</f>
        <v>https://knigipp.ru/api/getInfo/image/1d575b0c-d04c-11e7-9263-5cf3fc4a2490</v>
      </c>
      <c r="AA1084" s="33">
        <v>16</v>
      </c>
      <c r="AB1084" s="5"/>
      <c r="AC1084" s="5" t="s">
        <v>96</v>
      </c>
      <c r="AD1084" s="5"/>
      <c r="AE1084" s="5" t="s">
        <v>49</v>
      </c>
      <c r="AF1084" s="5"/>
      <c r="AG1084" s="5" t="s">
        <v>4468</v>
      </c>
      <c r="AH1084" s="5" t="s">
        <v>472</v>
      </c>
    </row>
    <row r="1085" spans="2:34" ht="21" customHeight="1" outlineLevel="4" x14ac:dyDescent="0.2">
      <c r="B1085" s="4">
        <v>823</v>
      </c>
      <c r="C1085" s="5" t="s">
        <v>4469</v>
      </c>
      <c r="D1085" s="5" t="s">
        <v>4470</v>
      </c>
      <c r="E1085" s="6" t="s">
        <v>4471</v>
      </c>
      <c r="F1085" s="10"/>
      <c r="G1085" s="11" t="s">
        <v>4465</v>
      </c>
      <c r="H1085" s="12">
        <v>50</v>
      </c>
      <c r="I1085" s="13" t="s">
        <v>41</v>
      </c>
      <c r="J1085" s="13"/>
      <c r="K1085" s="13"/>
      <c r="L1085" s="4">
        <v>10</v>
      </c>
      <c r="M1085" s="14">
        <f>62.66*(1-P3/100)</f>
        <v>62.66</v>
      </c>
      <c r="N1085" s="15"/>
      <c r="O1085" s="13">
        <f>M1085*N1085</f>
        <v>0</v>
      </c>
      <c r="P1085" s="22">
        <f>0.066*N1085</f>
        <v>0</v>
      </c>
      <c r="Q1085" s="23">
        <f>0.00011*N1085</f>
        <v>0</v>
      </c>
      <c r="R1085" s="24"/>
      <c r="S1085" s="25" t="s">
        <v>4472</v>
      </c>
      <c r="T1085" s="25" t="s">
        <v>43</v>
      </c>
      <c r="U1085" s="5"/>
      <c r="V1085" s="5"/>
      <c r="W1085" s="5" t="s">
        <v>46</v>
      </c>
      <c r="X1085" s="5" t="s">
        <v>4467</v>
      </c>
      <c r="Y1085" s="5"/>
      <c r="Z1085" s="5" t="str">
        <f>HYPERLINK("https://knigipp.ru/api/getInfo/image/23baa64f-d04c-11e7-9263-5cf3fc4a2490")</f>
        <v>https://knigipp.ru/api/getInfo/image/23baa64f-d04c-11e7-9263-5cf3fc4a2490</v>
      </c>
      <c r="AA1085" s="33">
        <v>16</v>
      </c>
      <c r="AB1085" s="5"/>
      <c r="AC1085" s="5" t="s">
        <v>96</v>
      </c>
      <c r="AD1085" s="5"/>
      <c r="AE1085" s="5" t="s">
        <v>49</v>
      </c>
      <c r="AF1085" s="5"/>
      <c r="AG1085" s="5" t="s">
        <v>4468</v>
      </c>
      <c r="AH1085" s="5" t="s">
        <v>472</v>
      </c>
    </row>
    <row r="1086" spans="2:34" ht="22.95" customHeight="1" outlineLevel="3" x14ac:dyDescent="0.2">
      <c r="B1086" s="74" t="s">
        <v>4473</v>
      </c>
      <c r="C1086" s="74"/>
      <c r="D1086" s="74"/>
    </row>
    <row r="1087" spans="2:34" ht="21" customHeight="1" outlineLevel="4" x14ac:dyDescent="0.2">
      <c r="B1087" s="4">
        <v>824</v>
      </c>
      <c r="C1087" s="5" t="s">
        <v>4474</v>
      </c>
      <c r="D1087" s="5" t="s">
        <v>4475</v>
      </c>
      <c r="E1087" s="6" t="s">
        <v>4476</v>
      </c>
      <c r="F1087" s="10"/>
      <c r="G1087" s="11" t="s">
        <v>4477</v>
      </c>
      <c r="H1087" s="12">
        <v>20</v>
      </c>
      <c r="I1087" s="13" t="s">
        <v>371</v>
      </c>
      <c r="J1087" s="13"/>
      <c r="K1087" s="13"/>
      <c r="L1087" s="4">
        <v>3</v>
      </c>
      <c r="M1087" s="14">
        <f>201.55*(1-P3/100)</f>
        <v>201.55</v>
      </c>
      <c r="N1087" s="15"/>
      <c r="O1087" s="13">
        <f t="shared" ref="O1087:O1099" si="31">M1087*N1087</f>
        <v>0</v>
      </c>
      <c r="P1087" s="32">
        <f t="shared" ref="P1087:P1099" si="32">0.25*N1087</f>
        <v>0</v>
      </c>
      <c r="Q1087" s="23">
        <f t="shared" ref="Q1087:Q1099" si="33">0.00155*N1087</f>
        <v>0</v>
      </c>
      <c r="R1087" s="24"/>
      <c r="S1087" s="25" t="s">
        <v>4478</v>
      </c>
      <c r="T1087" s="25" t="s">
        <v>43</v>
      </c>
      <c r="U1087" s="5"/>
      <c r="V1087" s="5"/>
      <c r="W1087" s="5" t="s">
        <v>46</v>
      </c>
      <c r="X1087" s="5"/>
      <c r="Y1087" s="5"/>
      <c r="Z1087" s="5" t="str">
        <f>HYPERLINK("https://knigipp.ru/api/getInfo/image/1b4885c7-03d9-11eb-a255-ac1f6b442184")</f>
        <v>https://knigipp.ru/api/getInfo/image/1b4885c7-03d9-11eb-a255-ac1f6b442184</v>
      </c>
      <c r="AA1087" s="33">
        <v>48</v>
      </c>
      <c r="AB1087" s="5"/>
      <c r="AC1087" s="5" t="s">
        <v>96</v>
      </c>
      <c r="AD1087" s="5"/>
      <c r="AE1087" s="5" t="s">
        <v>49</v>
      </c>
      <c r="AF1087" s="5"/>
      <c r="AG1087" s="5"/>
      <c r="AH1087" s="5" t="s">
        <v>4479</v>
      </c>
    </row>
    <row r="1088" spans="2:34" ht="21" customHeight="1" outlineLevel="4" x14ac:dyDescent="0.2">
      <c r="B1088" s="4">
        <v>825</v>
      </c>
      <c r="C1088" s="5" t="s">
        <v>4480</v>
      </c>
      <c r="D1088" s="5" t="s">
        <v>4481</v>
      </c>
      <c r="E1088" s="6" t="s">
        <v>4482</v>
      </c>
      <c r="F1088" s="10"/>
      <c r="G1088" s="11" t="s">
        <v>4477</v>
      </c>
      <c r="H1088" s="12">
        <v>20</v>
      </c>
      <c r="I1088" s="13" t="s">
        <v>261</v>
      </c>
      <c r="J1088" s="13"/>
      <c r="K1088" s="13"/>
      <c r="L1088" s="4">
        <v>3</v>
      </c>
      <c r="M1088" s="14">
        <f>201.55*(1-P3/100)</f>
        <v>201.55</v>
      </c>
      <c r="N1088" s="15"/>
      <c r="O1088" s="13">
        <f t="shared" si="31"/>
        <v>0</v>
      </c>
      <c r="P1088" s="32">
        <f t="shared" si="32"/>
        <v>0</v>
      </c>
      <c r="Q1088" s="23">
        <f t="shared" si="33"/>
        <v>0</v>
      </c>
      <c r="R1088" s="24"/>
      <c r="S1088" s="25" t="s">
        <v>4483</v>
      </c>
      <c r="T1088" s="25" t="s">
        <v>43</v>
      </c>
      <c r="U1088" s="5"/>
      <c r="V1088" s="5"/>
      <c r="W1088" s="5" t="s">
        <v>46</v>
      </c>
      <c r="X1088" s="5"/>
      <c r="Y1088" s="5"/>
      <c r="Z1088" s="5" t="str">
        <f>HYPERLINK("https://knigipp.ru/api/getInfo/image/cc548733-03d9-11eb-a255-ac1f6b442184")</f>
        <v>https://knigipp.ru/api/getInfo/image/cc548733-03d9-11eb-a255-ac1f6b442184</v>
      </c>
      <c r="AA1088" s="33">
        <v>48</v>
      </c>
      <c r="AB1088" s="5"/>
      <c r="AC1088" s="5" t="s">
        <v>96</v>
      </c>
      <c r="AD1088" s="5"/>
      <c r="AE1088" s="5" t="s">
        <v>49</v>
      </c>
      <c r="AF1088" s="5"/>
      <c r="AG1088" s="5"/>
      <c r="AH1088" s="5" t="s">
        <v>4479</v>
      </c>
    </row>
    <row r="1089" spans="2:34" ht="21" customHeight="1" outlineLevel="4" x14ac:dyDescent="0.2">
      <c r="B1089" s="4">
        <v>826</v>
      </c>
      <c r="C1089" s="5" t="s">
        <v>4484</v>
      </c>
      <c r="D1089" s="5" t="s">
        <v>4485</v>
      </c>
      <c r="E1089" s="6" t="s">
        <v>4486</v>
      </c>
      <c r="F1089" s="10"/>
      <c r="G1089" s="11" t="s">
        <v>4477</v>
      </c>
      <c r="H1089" s="12">
        <v>20</v>
      </c>
      <c r="I1089" s="13" t="s">
        <v>371</v>
      </c>
      <c r="J1089" s="13"/>
      <c r="K1089" s="13"/>
      <c r="L1089" s="4">
        <v>3</v>
      </c>
      <c r="M1089" s="14">
        <f>201.55*(1-P3/100)</f>
        <v>201.55</v>
      </c>
      <c r="N1089" s="15"/>
      <c r="O1089" s="13">
        <f t="shared" si="31"/>
        <v>0</v>
      </c>
      <c r="P1089" s="32">
        <f t="shared" si="32"/>
        <v>0</v>
      </c>
      <c r="Q1089" s="23">
        <f t="shared" si="33"/>
        <v>0</v>
      </c>
      <c r="R1089" s="24"/>
      <c r="S1089" s="25" t="s">
        <v>4487</v>
      </c>
      <c r="T1089" s="25" t="s">
        <v>43</v>
      </c>
      <c r="U1089" s="5"/>
      <c r="V1089" s="5"/>
      <c r="W1089" s="5" t="s">
        <v>46</v>
      </c>
      <c r="X1089" s="5"/>
      <c r="Y1089" s="5"/>
      <c r="Z1089" s="5" t="str">
        <f>HYPERLINK("https://knigipp.ru/api/getInfo/image/4da98639-03d8-11eb-a255-ac1f6b442184")</f>
        <v>https://knigipp.ru/api/getInfo/image/4da98639-03d8-11eb-a255-ac1f6b442184</v>
      </c>
      <c r="AA1089" s="33">
        <v>48</v>
      </c>
      <c r="AB1089" s="5"/>
      <c r="AC1089" s="5" t="s">
        <v>96</v>
      </c>
      <c r="AD1089" s="5"/>
      <c r="AE1089" s="5" t="s">
        <v>49</v>
      </c>
      <c r="AF1089" s="5"/>
      <c r="AG1089" s="5"/>
      <c r="AH1089" s="5" t="s">
        <v>4479</v>
      </c>
    </row>
    <row r="1090" spans="2:34" ht="21" customHeight="1" outlineLevel="4" x14ac:dyDescent="0.2">
      <c r="B1090" s="4">
        <v>827</v>
      </c>
      <c r="C1090" s="5" t="s">
        <v>4488</v>
      </c>
      <c r="D1090" s="5" t="s">
        <v>4489</v>
      </c>
      <c r="E1090" s="6" t="s">
        <v>4490</v>
      </c>
      <c r="F1090" s="10"/>
      <c r="G1090" s="11" t="s">
        <v>4477</v>
      </c>
      <c r="H1090" s="12">
        <v>20</v>
      </c>
      <c r="I1090" s="13" t="s">
        <v>41</v>
      </c>
      <c r="J1090" s="13"/>
      <c r="K1090" s="13"/>
      <c r="L1090" s="4">
        <v>3</v>
      </c>
      <c r="M1090" s="14">
        <f>201.55*(1-P3/100)</f>
        <v>201.55</v>
      </c>
      <c r="N1090" s="15"/>
      <c r="O1090" s="13">
        <f t="shared" si="31"/>
        <v>0</v>
      </c>
      <c r="P1090" s="32">
        <f t="shared" si="32"/>
        <v>0</v>
      </c>
      <c r="Q1090" s="23">
        <f t="shared" si="33"/>
        <v>0</v>
      </c>
      <c r="R1090" s="24"/>
      <c r="S1090" s="25" t="s">
        <v>4491</v>
      </c>
      <c r="T1090" s="25" t="s">
        <v>43</v>
      </c>
      <c r="U1090" s="5"/>
      <c r="V1090" s="5"/>
      <c r="W1090" s="5" t="s">
        <v>46</v>
      </c>
      <c r="X1090" s="5"/>
      <c r="Y1090" s="5"/>
      <c r="Z1090" s="5" t="str">
        <f>HYPERLINK("https://knigipp.ru/api/getInfo/image/26fd9f55-03d8-11eb-a255-ac1f6b442184")</f>
        <v>https://knigipp.ru/api/getInfo/image/26fd9f55-03d8-11eb-a255-ac1f6b442184</v>
      </c>
      <c r="AA1090" s="33">
        <v>48</v>
      </c>
      <c r="AB1090" s="5"/>
      <c r="AC1090" s="5" t="s">
        <v>96</v>
      </c>
      <c r="AD1090" s="5"/>
      <c r="AE1090" s="5" t="s">
        <v>49</v>
      </c>
      <c r="AF1090" s="5"/>
      <c r="AG1090" s="5"/>
      <c r="AH1090" s="5" t="s">
        <v>4479</v>
      </c>
    </row>
    <row r="1091" spans="2:34" ht="21" customHeight="1" outlineLevel="4" x14ac:dyDescent="0.2">
      <c r="B1091" s="4">
        <v>828</v>
      </c>
      <c r="C1091" s="5" t="s">
        <v>4492</v>
      </c>
      <c r="D1091" s="5" t="s">
        <v>4493</v>
      </c>
      <c r="E1091" s="6" t="s">
        <v>4494</v>
      </c>
      <c r="F1091" s="10"/>
      <c r="G1091" s="11" t="s">
        <v>4477</v>
      </c>
      <c r="H1091" s="12">
        <v>20</v>
      </c>
      <c r="I1091" s="13" t="s">
        <v>371</v>
      </c>
      <c r="J1091" s="13"/>
      <c r="K1091" s="13"/>
      <c r="L1091" s="4">
        <v>3</v>
      </c>
      <c r="M1091" s="14">
        <f>201.55*(1-P3/100)</f>
        <v>201.55</v>
      </c>
      <c r="N1091" s="15"/>
      <c r="O1091" s="13">
        <f t="shared" si="31"/>
        <v>0</v>
      </c>
      <c r="P1091" s="32">
        <f t="shared" si="32"/>
        <v>0</v>
      </c>
      <c r="Q1091" s="23">
        <f t="shared" si="33"/>
        <v>0</v>
      </c>
      <c r="R1091" s="24"/>
      <c r="S1091" s="25" t="s">
        <v>4495</v>
      </c>
      <c r="T1091" s="25" t="s">
        <v>43</v>
      </c>
      <c r="U1091" s="5"/>
      <c r="V1091" s="5"/>
      <c r="W1091" s="5" t="s">
        <v>46</v>
      </c>
      <c r="X1091" s="5"/>
      <c r="Y1091" s="5"/>
      <c r="Z1091" s="5" t="str">
        <f>HYPERLINK("https://knigipp.ru/api/getInfo/image/0ecbd671-03d8-11eb-a255-ac1f6b442184")</f>
        <v>https://knigipp.ru/api/getInfo/image/0ecbd671-03d8-11eb-a255-ac1f6b442184</v>
      </c>
      <c r="AA1091" s="33">
        <v>48</v>
      </c>
      <c r="AB1091" s="5"/>
      <c r="AC1091" s="5" t="s">
        <v>96</v>
      </c>
      <c r="AD1091" s="5"/>
      <c r="AE1091" s="5" t="s">
        <v>49</v>
      </c>
      <c r="AF1091" s="5"/>
      <c r="AG1091" s="5"/>
      <c r="AH1091" s="5" t="s">
        <v>4479</v>
      </c>
    </row>
    <row r="1092" spans="2:34" ht="21" customHeight="1" outlineLevel="4" x14ac:dyDescent="0.2">
      <c r="B1092" s="4">
        <v>829</v>
      </c>
      <c r="C1092" s="5" t="s">
        <v>4496</v>
      </c>
      <c r="D1092" s="5" t="s">
        <v>4497</v>
      </c>
      <c r="E1092" s="6" t="s">
        <v>4498</v>
      </c>
      <c r="F1092" s="10"/>
      <c r="G1092" s="11" t="s">
        <v>4477</v>
      </c>
      <c r="H1092" s="12">
        <v>20</v>
      </c>
      <c r="I1092" s="13" t="s">
        <v>41</v>
      </c>
      <c r="J1092" s="13"/>
      <c r="K1092" s="13"/>
      <c r="L1092" s="4">
        <v>3</v>
      </c>
      <c r="M1092" s="14">
        <f>201.55*(1-P3/100)</f>
        <v>201.55</v>
      </c>
      <c r="N1092" s="15"/>
      <c r="O1092" s="13">
        <f t="shared" si="31"/>
        <v>0</v>
      </c>
      <c r="P1092" s="32">
        <f t="shared" si="32"/>
        <v>0</v>
      </c>
      <c r="Q1092" s="23">
        <f t="shared" si="33"/>
        <v>0</v>
      </c>
      <c r="R1092" s="24"/>
      <c r="S1092" s="25" t="s">
        <v>4499</v>
      </c>
      <c r="T1092" s="25" t="s">
        <v>43</v>
      </c>
      <c r="U1092" s="5"/>
      <c r="V1092" s="5"/>
      <c r="W1092" s="5" t="s">
        <v>46</v>
      </c>
      <c r="X1092" s="5"/>
      <c r="Y1092" s="5"/>
      <c r="Z1092" s="5" t="str">
        <f>HYPERLINK("https://knigipp.ru/api/getInfo/image/fd54791b-03d7-11eb-a255-ac1f6b442184")</f>
        <v>https://knigipp.ru/api/getInfo/image/fd54791b-03d7-11eb-a255-ac1f6b442184</v>
      </c>
      <c r="AA1092" s="33">
        <v>48</v>
      </c>
      <c r="AB1092" s="5"/>
      <c r="AC1092" s="5" t="s">
        <v>96</v>
      </c>
      <c r="AD1092" s="5"/>
      <c r="AE1092" s="5" t="s">
        <v>49</v>
      </c>
      <c r="AF1092" s="5"/>
      <c r="AG1092" s="5"/>
      <c r="AH1092" s="5" t="s">
        <v>4479</v>
      </c>
    </row>
    <row r="1093" spans="2:34" ht="21" customHeight="1" outlineLevel="4" x14ac:dyDescent="0.2">
      <c r="B1093" s="4">
        <v>830</v>
      </c>
      <c r="C1093" s="5" t="s">
        <v>4500</v>
      </c>
      <c r="D1093" s="5" t="s">
        <v>4501</v>
      </c>
      <c r="E1093" s="6" t="s">
        <v>4502</v>
      </c>
      <c r="F1093" s="10"/>
      <c r="G1093" s="11" t="s">
        <v>4477</v>
      </c>
      <c r="H1093" s="12">
        <v>20</v>
      </c>
      <c r="I1093" s="13" t="s">
        <v>371</v>
      </c>
      <c r="J1093" s="13"/>
      <c r="K1093" s="13"/>
      <c r="L1093" s="4">
        <v>3</v>
      </c>
      <c r="M1093" s="14">
        <f>201.55*(1-P3/100)</f>
        <v>201.55</v>
      </c>
      <c r="N1093" s="15"/>
      <c r="O1093" s="13">
        <f t="shared" si="31"/>
        <v>0</v>
      </c>
      <c r="P1093" s="32">
        <f t="shared" si="32"/>
        <v>0</v>
      </c>
      <c r="Q1093" s="23">
        <f t="shared" si="33"/>
        <v>0</v>
      </c>
      <c r="R1093" s="24"/>
      <c r="S1093" s="25" t="s">
        <v>4503</v>
      </c>
      <c r="T1093" s="25" t="s">
        <v>43</v>
      </c>
      <c r="U1093" s="5"/>
      <c r="V1093" s="5"/>
      <c r="W1093" s="5" t="s">
        <v>46</v>
      </c>
      <c r="X1093" s="5"/>
      <c r="Y1093" s="5"/>
      <c r="Z1093" s="5" t="str">
        <f>HYPERLINK("https://knigipp.ru/api/getInfo/image/313d7bbc-03d8-11eb-a255-ac1f6b442184")</f>
        <v>https://knigipp.ru/api/getInfo/image/313d7bbc-03d8-11eb-a255-ac1f6b442184</v>
      </c>
      <c r="AA1093" s="33">
        <v>48</v>
      </c>
      <c r="AB1093" s="5"/>
      <c r="AC1093" s="5" t="s">
        <v>96</v>
      </c>
      <c r="AD1093" s="5"/>
      <c r="AE1093" s="5" t="s">
        <v>49</v>
      </c>
      <c r="AF1093" s="5"/>
      <c r="AG1093" s="5"/>
      <c r="AH1093" s="5" t="s">
        <v>4479</v>
      </c>
    </row>
    <row r="1094" spans="2:34" ht="21" customHeight="1" outlineLevel="4" x14ac:dyDescent="0.2">
      <c r="B1094" s="4">
        <v>831</v>
      </c>
      <c r="C1094" s="5" t="s">
        <v>4504</v>
      </c>
      <c r="D1094" s="5" t="s">
        <v>4505</v>
      </c>
      <c r="E1094" s="6" t="s">
        <v>4506</v>
      </c>
      <c r="F1094" s="10"/>
      <c r="G1094" s="11" t="s">
        <v>4477</v>
      </c>
      <c r="H1094" s="12">
        <v>20</v>
      </c>
      <c r="I1094" s="13" t="s">
        <v>41</v>
      </c>
      <c r="J1094" s="13"/>
      <c r="K1094" s="13"/>
      <c r="L1094" s="4">
        <v>3</v>
      </c>
      <c r="M1094" s="14">
        <f>201.55*(1-P3/100)</f>
        <v>201.55</v>
      </c>
      <c r="N1094" s="15"/>
      <c r="O1094" s="13">
        <f t="shared" si="31"/>
        <v>0</v>
      </c>
      <c r="P1094" s="32">
        <f t="shared" si="32"/>
        <v>0</v>
      </c>
      <c r="Q1094" s="23">
        <f t="shared" si="33"/>
        <v>0</v>
      </c>
      <c r="R1094" s="24"/>
      <c r="S1094" s="25" t="s">
        <v>4507</v>
      </c>
      <c r="T1094" s="25" t="s">
        <v>43</v>
      </c>
      <c r="U1094" s="5"/>
      <c r="V1094" s="5"/>
      <c r="W1094" s="5" t="s">
        <v>46</v>
      </c>
      <c r="X1094" s="5"/>
      <c r="Y1094" s="5"/>
      <c r="Z1094" s="5" t="str">
        <f>HYPERLINK("https://knigipp.ru/api/getInfo/image/dbf80ab8-03d7-11eb-a255-ac1f6b442184")</f>
        <v>https://knigipp.ru/api/getInfo/image/dbf80ab8-03d7-11eb-a255-ac1f6b442184</v>
      </c>
      <c r="AA1094" s="33">
        <v>48</v>
      </c>
      <c r="AB1094" s="5"/>
      <c r="AC1094" s="5" t="s">
        <v>96</v>
      </c>
      <c r="AD1094" s="5"/>
      <c r="AE1094" s="5" t="s">
        <v>49</v>
      </c>
      <c r="AF1094" s="5"/>
      <c r="AG1094" s="5"/>
      <c r="AH1094" s="5" t="s">
        <v>4479</v>
      </c>
    </row>
    <row r="1095" spans="2:34" ht="21" customHeight="1" outlineLevel="4" x14ac:dyDescent="0.2">
      <c r="B1095" s="4">
        <v>832</v>
      </c>
      <c r="C1095" s="5" t="s">
        <v>4508</v>
      </c>
      <c r="D1095" s="5" t="s">
        <v>4509</v>
      </c>
      <c r="E1095" s="6" t="s">
        <v>4510</v>
      </c>
      <c r="F1095" s="10"/>
      <c r="G1095" s="11" t="s">
        <v>4477</v>
      </c>
      <c r="H1095" s="12">
        <v>20</v>
      </c>
      <c r="I1095" s="13" t="s">
        <v>371</v>
      </c>
      <c r="J1095" s="13"/>
      <c r="K1095" s="13"/>
      <c r="L1095" s="4">
        <v>3</v>
      </c>
      <c r="M1095" s="14">
        <f>201.55*(1-P3/100)</f>
        <v>201.55</v>
      </c>
      <c r="N1095" s="15"/>
      <c r="O1095" s="13">
        <f t="shared" si="31"/>
        <v>0</v>
      </c>
      <c r="P1095" s="32">
        <f t="shared" si="32"/>
        <v>0</v>
      </c>
      <c r="Q1095" s="23">
        <f t="shared" si="33"/>
        <v>0</v>
      </c>
      <c r="R1095" s="24"/>
      <c r="S1095" s="25" t="s">
        <v>4511</v>
      </c>
      <c r="T1095" s="25" t="s">
        <v>43</v>
      </c>
      <c r="U1095" s="5"/>
      <c r="V1095" s="5"/>
      <c r="W1095" s="5" t="s">
        <v>46</v>
      </c>
      <c r="X1095" s="5"/>
      <c r="Y1095" s="5"/>
      <c r="Z1095" s="5" t="str">
        <f>HYPERLINK("https://knigipp.ru/api/getInfo/image/98480faa-03d8-11eb-a255-ac1f6b442184")</f>
        <v>https://knigipp.ru/api/getInfo/image/98480faa-03d8-11eb-a255-ac1f6b442184</v>
      </c>
      <c r="AA1095" s="33">
        <v>48</v>
      </c>
      <c r="AB1095" s="5"/>
      <c r="AC1095" s="5" t="s">
        <v>96</v>
      </c>
      <c r="AD1095" s="5"/>
      <c r="AE1095" s="5" t="s">
        <v>49</v>
      </c>
      <c r="AF1095" s="5"/>
      <c r="AG1095" s="5"/>
      <c r="AH1095" s="5" t="s">
        <v>4479</v>
      </c>
    </row>
    <row r="1096" spans="2:34" ht="21" customHeight="1" outlineLevel="4" x14ac:dyDescent="0.2">
      <c r="B1096" s="4">
        <v>833</v>
      </c>
      <c r="C1096" s="5" t="s">
        <v>4512</v>
      </c>
      <c r="D1096" s="5" t="s">
        <v>4513</v>
      </c>
      <c r="E1096" s="6" t="s">
        <v>4514</v>
      </c>
      <c r="F1096" s="10"/>
      <c r="G1096" s="11" t="s">
        <v>4477</v>
      </c>
      <c r="H1096" s="12">
        <v>20</v>
      </c>
      <c r="I1096" s="13" t="s">
        <v>371</v>
      </c>
      <c r="J1096" s="13"/>
      <c r="K1096" s="13"/>
      <c r="L1096" s="4">
        <v>3</v>
      </c>
      <c r="M1096" s="14">
        <f>201.55*(1-P3/100)</f>
        <v>201.55</v>
      </c>
      <c r="N1096" s="15"/>
      <c r="O1096" s="13">
        <f t="shared" si="31"/>
        <v>0</v>
      </c>
      <c r="P1096" s="32">
        <f t="shared" si="32"/>
        <v>0</v>
      </c>
      <c r="Q1096" s="23">
        <f t="shared" si="33"/>
        <v>0</v>
      </c>
      <c r="R1096" s="24"/>
      <c r="S1096" s="25" t="s">
        <v>4515</v>
      </c>
      <c r="T1096" s="25" t="s">
        <v>43</v>
      </c>
      <c r="U1096" s="5"/>
      <c r="V1096" s="5"/>
      <c r="W1096" s="5" t="s">
        <v>46</v>
      </c>
      <c r="X1096" s="5"/>
      <c r="Y1096" s="5"/>
      <c r="Z1096" s="5" t="str">
        <f>HYPERLINK("https://knigipp.ru/api/getInfo/image/aad0ca3d-03d8-11eb-a255-ac1f6b442184")</f>
        <v>https://knigipp.ru/api/getInfo/image/aad0ca3d-03d8-11eb-a255-ac1f6b442184</v>
      </c>
      <c r="AA1096" s="33">
        <v>48</v>
      </c>
      <c r="AB1096" s="5"/>
      <c r="AC1096" s="5" t="s">
        <v>96</v>
      </c>
      <c r="AD1096" s="5"/>
      <c r="AE1096" s="5" t="s">
        <v>49</v>
      </c>
      <c r="AF1096" s="5"/>
      <c r="AG1096" s="5"/>
      <c r="AH1096" s="5" t="s">
        <v>4479</v>
      </c>
    </row>
    <row r="1097" spans="2:34" ht="21" customHeight="1" outlineLevel="4" x14ac:dyDescent="0.2">
      <c r="B1097" s="4">
        <v>834</v>
      </c>
      <c r="C1097" s="5" t="s">
        <v>4516</v>
      </c>
      <c r="D1097" s="5" t="s">
        <v>4517</v>
      </c>
      <c r="E1097" s="6" t="s">
        <v>4518</v>
      </c>
      <c r="F1097" s="10"/>
      <c r="G1097" s="11" t="s">
        <v>4477</v>
      </c>
      <c r="H1097" s="12">
        <v>20</v>
      </c>
      <c r="I1097" s="13" t="s">
        <v>261</v>
      </c>
      <c r="J1097" s="13"/>
      <c r="K1097" s="13"/>
      <c r="L1097" s="4">
        <v>3</v>
      </c>
      <c r="M1097" s="14">
        <f>201.55*(1-P3/100)</f>
        <v>201.55</v>
      </c>
      <c r="N1097" s="15"/>
      <c r="O1097" s="13">
        <f t="shared" si="31"/>
        <v>0</v>
      </c>
      <c r="P1097" s="32">
        <f t="shared" si="32"/>
        <v>0</v>
      </c>
      <c r="Q1097" s="23">
        <f t="shared" si="33"/>
        <v>0</v>
      </c>
      <c r="R1097" s="24"/>
      <c r="S1097" s="25" t="s">
        <v>4519</v>
      </c>
      <c r="T1097" s="25" t="s">
        <v>43</v>
      </c>
      <c r="U1097" s="5"/>
      <c r="V1097" s="5"/>
      <c r="W1097" s="5" t="s">
        <v>46</v>
      </c>
      <c r="X1097" s="5"/>
      <c r="Y1097" s="5"/>
      <c r="Z1097" s="5" t="str">
        <f>HYPERLINK("https://knigipp.ru/api/getInfo/image/5f2d9282-03d8-11eb-a255-ac1f6b442184")</f>
        <v>https://knigipp.ru/api/getInfo/image/5f2d9282-03d8-11eb-a255-ac1f6b442184</v>
      </c>
      <c r="AA1097" s="33">
        <v>48</v>
      </c>
      <c r="AB1097" s="5"/>
      <c r="AC1097" s="5" t="s">
        <v>96</v>
      </c>
      <c r="AD1097" s="5"/>
      <c r="AE1097" s="5" t="s">
        <v>49</v>
      </c>
      <c r="AF1097" s="5"/>
      <c r="AG1097" s="5"/>
      <c r="AH1097" s="5" t="s">
        <v>4479</v>
      </c>
    </row>
    <row r="1098" spans="2:34" ht="21" customHeight="1" outlineLevel="4" x14ac:dyDescent="0.2">
      <c r="B1098" s="4">
        <v>835</v>
      </c>
      <c r="C1098" s="5" t="s">
        <v>4520</v>
      </c>
      <c r="D1098" s="5" t="s">
        <v>4521</v>
      </c>
      <c r="E1098" s="6" t="s">
        <v>4522</v>
      </c>
      <c r="F1098" s="10"/>
      <c r="G1098" s="11" t="s">
        <v>4477</v>
      </c>
      <c r="H1098" s="12">
        <v>20</v>
      </c>
      <c r="I1098" s="13" t="s">
        <v>371</v>
      </c>
      <c r="J1098" s="13"/>
      <c r="K1098" s="13"/>
      <c r="L1098" s="4">
        <v>3</v>
      </c>
      <c r="M1098" s="14">
        <f>201.55*(1-P3/100)</f>
        <v>201.55</v>
      </c>
      <c r="N1098" s="15"/>
      <c r="O1098" s="13">
        <f t="shared" si="31"/>
        <v>0</v>
      </c>
      <c r="P1098" s="32">
        <f t="shared" si="32"/>
        <v>0</v>
      </c>
      <c r="Q1098" s="23">
        <f t="shared" si="33"/>
        <v>0</v>
      </c>
      <c r="R1098" s="24"/>
      <c r="S1098" s="25" t="s">
        <v>4523</v>
      </c>
      <c r="T1098" s="25" t="s">
        <v>43</v>
      </c>
      <c r="U1098" s="5"/>
      <c r="V1098" s="5"/>
      <c r="W1098" s="5" t="s">
        <v>46</v>
      </c>
      <c r="X1098" s="5"/>
      <c r="Y1098" s="5"/>
      <c r="Z1098" s="5" t="str">
        <f>HYPERLINK("https://knigipp.ru/api/getInfo/image/8ad7145c-03d8-11eb-a255-ac1f6b442184")</f>
        <v>https://knigipp.ru/api/getInfo/image/8ad7145c-03d8-11eb-a255-ac1f6b442184</v>
      </c>
      <c r="AA1098" s="33">
        <v>48</v>
      </c>
      <c r="AB1098" s="5"/>
      <c r="AC1098" s="5" t="s">
        <v>96</v>
      </c>
      <c r="AD1098" s="5"/>
      <c r="AE1098" s="5" t="s">
        <v>49</v>
      </c>
      <c r="AF1098" s="5"/>
      <c r="AG1098" s="5"/>
      <c r="AH1098" s="5" t="s">
        <v>4479</v>
      </c>
    </row>
    <row r="1099" spans="2:34" ht="21" customHeight="1" outlineLevel="4" x14ac:dyDescent="0.2">
      <c r="B1099" s="4">
        <v>836</v>
      </c>
      <c r="C1099" s="5" t="s">
        <v>4524</v>
      </c>
      <c r="D1099" s="5" t="s">
        <v>4525</v>
      </c>
      <c r="E1099" s="6" t="s">
        <v>4526</v>
      </c>
      <c r="F1099" s="10"/>
      <c r="G1099" s="11" t="s">
        <v>4477</v>
      </c>
      <c r="H1099" s="12">
        <v>20</v>
      </c>
      <c r="I1099" s="13" t="s">
        <v>371</v>
      </c>
      <c r="J1099" s="13"/>
      <c r="K1099" s="13"/>
      <c r="L1099" s="4">
        <v>3</v>
      </c>
      <c r="M1099" s="14">
        <f>201.55*(1-P3/100)</f>
        <v>201.55</v>
      </c>
      <c r="N1099" s="15"/>
      <c r="O1099" s="13">
        <f t="shared" si="31"/>
        <v>0</v>
      </c>
      <c r="P1099" s="32">
        <f t="shared" si="32"/>
        <v>0</v>
      </c>
      <c r="Q1099" s="23">
        <f t="shared" si="33"/>
        <v>0</v>
      </c>
      <c r="R1099" s="24"/>
      <c r="S1099" s="25" t="s">
        <v>4527</v>
      </c>
      <c r="T1099" s="25" t="s">
        <v>43</v>
      </c>
      <c r="U1099" s="5"/>
      <c r="V1099" s="5"/>
      <c r="W1099" s="5" t="s">
        <v>46</v>
      </c>
      <c r="X1099" s="5"/>
      <c r="Y1099" s="5"/>
      <c r="Z1099" s="5" t="str">
        <f>HYPERLINK("https://knigipp.ru/api/getInfo/image/76d2570c-03d8-11eb-a255-ac1f6b442184")</f>
        <v>https://knigipp.ru/api/getInfo/image/76d2570c-03d8-11eb-a255-ac1f6b442184</v>
      </c>
      <c r="AA1099" s="33">
        <v>48</v>
      </c>
      <c r="AB1099" s="5"/>
      <c r="AC1099" s="5" t="s">
        <v>96</v>
      </c>
      <c r="AD1099" s="5"/>
      <c r="AE1099" s="5" t="s">
        <v>49</v>
      </c>
      <c r="AF1099" s="5"/>
      <c r="AG1099" s="5"/>
      <c r="AH1099" s="5" t="s">
        <v>4479</v>
      </c>
    </row>
    <row r="1100" spans="2:34" ht="22.95" customHeight="1" outlineLevel="3" x14ac:dyDescent="0.2">
      <c r="B1100" s="74" t="s">
        <v>4528</v>
      </c>
      <c r="C1100" s="74"/>
      <c r="D1100" s="74"/>
    </row>
    <row r="1101" spans="2:34" ht="21" customHeight="1" outlineLevel="4" x14ac:dyDescent="0.2">
      <c r="B1101" s="4">
        <v>837</v>
      </c>
      <c r="C1101" s="5" t="s">
        <v>4529</v>
      </c>
      <c r="D1101" s="5" t="s">
        <v>4530</v>
      </c>
      <c r="E1101" s="6" t="s">
        <v>4531</v>
      </c>
      <c r="F1101" s="10"/>
      <c r="G1101" s="11" t="s">
        <v>4532</v>
      </c>
      <c r="H1101" s="12">
        <v>25</v>
      </c>
      <c r="I1101" s="13" t="s">
        <v>41</v>
      </c>
      <c r="J1101" s="13"/>
      <c r="K1101" s="13"/>
      <c r="L1101" s="4">
        <v>4</v>
      </c>
      <c r="M1101" s="14">
        <f>167*(1-P3/100)</f>
        <v>167</v>
      </c>
      <c r="N1101" s="15"/>
      <c r="O1101" s="13">
        <f>M1101*N1101</f>
        <v>0</v>
      </c>
      <c r="P1101" s="36">
        <f>0.1*N1101</f>
        <v>0</v>
      </c>
      <c r="Q1101" s="23">
        <f>0.00014*N1101</f>
        <v>0</v>
      </c>
      <c r="R1101" s="24"/>
      <c r="S1101" s="25" t="s">
        <v>4533</v>
      </c>
      <c r="T1101" s="25" t="s">
        <v>43</v>
      </c>
      <c r="U1101" s="5"/>
      <c r="V1101" s="5"/>
      <c r="W1101" s="5" t="s">
        <v>46</v>
      </c>
      <c r="X1101" s="5"/>
      <c r="Y1101" s="5"/>
      <c r="Z1101" s="5" t="str">
        <f>HYPERLINK("https://knigipp.ru/api/getInfo/image/e0c39b78-98db-11e9-a227-ac1f6b442184")</f>
        <v>https://knigipp.ru/api/getInfo/image/e0c39b78-98db-11e9-a227-ac1f6b442184</v>
      </c>
      <c r="AA1101" s="33">
        <v>64</v>
      </c>
      <c r="AB1101" s="5"/>
      <c r="AC1101" s="5" t="s">
        <v>96</v>
      </c>
      <c r="AD1101" s="5"/>
      <c r="AE1101" s="5" t="s">
        <v>49</v>
      </c>
      <c r="AF1101" s="5"/>
      <c r="AG1101" s="5"/>
      <c r="AH1101" s="5" t="s">
        <v>4534</v>
      </c>
    </row>
    <row r="1102" spans="2:34" ht="21" customHeight="1" outlineLevel="4" x14ac:dyDescent="0.2">
      <c r="B1102" s="4">
        <v>838</v>
      </c>
      <c r="C1102" s="5" t="s">
        <v>4535</v>
      </c>
      <c r="D1102" s="5" t="s">
        <v>4536</v>
      </c>
      <c r="E1102" s="6" t="s">
        <v>4537</v>
      </c>
      <c r="F1102" s="10"/>
      <c r="G1102" s="11" t="s">
        <v>4532</v>
      </c>
      <c r="H1102" s="12">
        <v>25</v>
      </c>
      <c r="I1102" s="13" t="s">
        <v>41</v>
      </c>
      <c r="J1102" s="13"/>
      <c r="K1102" s="13"/>
      <c r="L1102" s="4">
        <v>4</v>
      </c>
      <c r="M1102" s="14">
        <f>167*(1-P3/100)</f>
        <v>167</v>
      </c>
      <c r="N1102" s="15"/>
      <c r="O1102" s="13">
        <f>M1102*N1102</f>
        <v>0</v>
      </c>
      <c r="P1102" s="36">
        <f>0.1*N1102</f>
        <v>0</v>
      </c>
      <c r="Q1102" s="23">
        <f>0.00014*N1102</f>
        <v>0</v>
      </c>
      <c r="R1102" s="24"/>
      <c r="S1102" s="25" t="s">
        <v>4538</v>
      </c>
      <c r="T1102" s="25" t="s">
        <v>43</v>
      </c>
      <c r="U1102" s="5"/>
      <c r="V1102" s="5"/>
      <c r="W1102" s="5" t="s">
        <v>46</v>
      </c>
      <c r="X1102" s="5"/>
      <c r="Y1102" s="5"/>
      <c r="Z1102" s="5" t="str">
        <f>HYPERLINK("https://knigipp.ru/api/getInfo/image/0f49b228-98dc-11e9-a227-ac1f6b442184")</f>
        <v>https://knigipp.ru/api/getInfo/image/0f49b228-98dc-11e9-a227-ac1f6b442184</v>
      </c>
      <c r="AA1102" s="33">
        <v>64</v>
      </c>
      <c r="AB1102" s="5"/>
      <c r="AC1102" s="5" t="s">
        <v>96</v>
      </c>
      <c r="AD1102" s="5"/>
      <c r="AE1102" s="5" t="s">
        <v>49</v>
      </c>
      <c r="AF1102" s="5"/>
      <c r="AG1102" s="5"/>
      <c r="AH1102" s="5" t="s">
        <v>4534</v>
      </c>
    </row>
    <row r="1103" spans="2:34" ht="21" customHeight="1" outlineLevel="4" x14ac:dyDescent="0.2">
      <c r="B1103" s="4">
        <v>839</v>
      </c>
      <c r="C1103" s="5" t="s">
        <v>4539</v>
      </c>
      <c r="D1103" s="5" t="s">
        <v>4540</v>
      </c>
      <c r="E1103" s="6" t="s">
        <v>4541</v>
      </c>
      <c r="F1103" s="10"/>
      <c r="G1103" s="11" t="s">
        <v>4542</v>
      </c>
      <c r="H1103" s="12">
        <v>25</v>
      </c>
      <c r="I1103" s="13" t="s">
        <v>41</v>
      </c>
      <c r="J1103" s="13"/>
      <c r="K1103" s="13"/>
      <c r="L1103" s="4">
        <v>4</v>
      </c>
      <c r="M1103" s="14">
        <f>167*(1-P3/100)</f>
        <v>167</v>
      </c>
      <c r="N1103" s="15"/>
      <c r="O1103" s="13">
        <f>M1103*N1103</f>
        <v>0</v>
      </c>
      <c r="P1103" s="36">
        <f>0.1*N1103</f>
        <v>0</v>
      </c>
      <c r="Q1103" s="23">
        <f>0.00014*N1103</f>
        <v>0</v>
      </c>
      <c r="R1103" s="24"/>
      <c r="S1103" s="25" t="s">
        <v>4543</v>
      </c>
      <c r="T1103" s="25" t="s">
        <v>43</v>
      </c>
      <c r="U1103" s="5"/>
      <c r="V1103" s="5"/>
      <c r="W1103" s="5" t="s">
        <v>46</v>
      </c>
      <c r="X1103" s="5"/>
      <c r="Y1103" s="5"/>
      <c r="Z1103" s="5" t="str">
        <f>HYPERLINK("https://knigipp.ru/api/getInfo/image/d24597fd-2649-11ea-a239-ac1f6b442184")</f>
        <v>https://knigipp.ru/api/getInfo/image/d24597fd-2649-11ea-a239-ac1f6b442184</v>
      </c>
      <c r="AA1103" s="33">
        <v>64</v>
      </c>
      <c r="AB1103" s="5"/>
      <c r="AC1103" s="5" t="s">
        <v>96</v>
      </c>
      <c r="AD1103" s="5"/>
      <c r="AE1103" s="5" t="s">
        <v>49</v>
      </c>
      <c r="AF1103" s="5"/>
      <c r="AG1103" s="5"/>
      <c r="AH1103" s="5" t="s">
        <v>4534</v>
      </c>
    </row>
    <row r="1104" spans="2:34" ht="21" customHeight="1" outlineLevel="4" x14ac:dyDescent="0.2">
      <c r="B1104" s="4">
        <v>840</v>
      </c>
      <c r="C1104" s="5" t="s">
        <v>4544</v>
      </c>
      <c r="D1104" s="5" t="s">
        <v>4545</v>
      </c>
      <c r="E1104" s="6" t="s">
        <v>4546</v>
      </c>
      <c r="F1104" s="10"/>
      <c r="G1104" s="11" t="s">
        <v>4547</v>
      </c>
      <c r="H1104" s="12">
        <v>25</v>
      </c>
      <c r="I1104" s="13" t="s">
        <v>41</v>
      </c>
      <c r="J1104" s="13"/>
      <c r="K1104" s="13"/>
      <c r="L1104" s="4">
        <v>4</v>
      </c>
      <c r="M1104" s="14">
        <f>167*(1-P3/100)</f>
        <v>167</v>
      </c>
      <c r="N1104" s="15"/>
      <c r="O1104" s="13">
        <f>M1104*N1104</f>
        <v>0</v>
      </c>
      <c r="P1104" s="22">
        <f>0.098*N1104</f>
        <v>0</v>
      </c>
      <c r="Q1104" s="23">
        <f>0.00045*N1104</f>
        <v>0</v>
      </c>
      <c r="R1104" s="24"/>
      <c r="S1104" s="25" t="s">
        <v>4548</v>
      </c>
      <c r="T1104" s="25" t="s">
        <v>43</v>
      </c>
      <c r="U1104" s="5"/>
      <c r="V1104" s="5"/>
      <c r="W1104" s="5" t="s">
        <v>46</v>
      </c>
      <c r="X1104" s="5"/>
      <c r="Y1104" s="5"/>
      <c r="Z1104" s="5" t="str">
        <f>HYPERLINK("https://knigipp.ru/api/getInfo/image/b9864f3d-2649-11ea-a239-ac1f6b442184")</f>
        <v>https://knigipp.ru/api/getInfo/image/b9864f3d-2649-11ea-a239-ac1f6b442184</v>
      </c>
      <c r="AA1104" s="33">
        <v>64</v>
      </c>
      <c r="AB1104" s="5"/>
      <c r="AC1104" s="5" t="s">
        <v>96</v>
      </c>
      <c r="AD1104" s="5"/>
      <c r="AE1104" s="5" t="s">
        <v>49</v>
      </c>
      <c r="AF1104" s="5"/>
      <c r="AG1104" s="5"/>
      <c r="AH1104" s="5" t="s">
        <v>4534</v>
      </c>
    </row>
    <row r="1105" spans="2:34" ht="22.95" customHeight="1" outlineLevel="3" x14ac:dyDescent="0.2">
      <c r="B1105" s="74" t="s">
        <v>4549</v>
      </c>
      <c r="C1105" s="74"/>
      <c r="D1105" s="74"/>
    </row>
    <row r="1106" spans="2:34" ht="21" customHeight="1" outlineLevel="4" x14ac:dyDescent="0.2">
      <c r="B1106" s="4">
        <v>841</v>
      </c>
      <c r="C1106" s="5" t="s">
        <v>4550</v>
      </c>
      <c r="D1106" s="5" t="s">
        <v>4551</v>
      </c>
      <c r="E1106" s="6" t="s">
        <v>4552</v>
      </c>
      <c r="F1106" s="10"/>
      <c r="G1106" s="11" t="s">
        <v>4553</v>
      </c>
      <c r="H1106" s="12">
        <v>50</v>
      </c>
      <c r="I1106" s="13" t="s">
        <v>41</v>
      </c>
      <c r="J1106" s="13"/>
      <c r="K1106" s="13"/>
      <c r="L1106" s="4">
        <v>10</v>
      </c>
      <c r="M1106" s="14">
        <f>67*(1-P3/100)</f>
        <v>67</v>
      </c>
      <c r="N1106" s="15"/>
      <c r="O1106" s="13">
        <f>M1106*N1106</f>
        <v>0</v>
      </c>
      <c r="P1106" s="22">
        <f>0.056*N1106</f>
        <v>0</v>
      </c>
      <c r="Q1106" s="23">
        <f>0.00011*N1106</f>
        <v>0</v>
      </c>
      <c r="R1106" s="24"/>
      <c r="S1106" s="25" t="s">
        <v>4554</v>
      </c>
      <c r="T1106" s="25" t="s">
        <v>43</v>
      </c>
      <c r="U1106" s="5"/>
      <c r="V1106" s="5"/>
      <c r="W1106" s="5" t="s">
        <v>46</v>
      </c>
      <c r="X1106" s="5" t="s">
        <v>4555</v>
      </c>
      <c r="Y1106" s="5"/>
      <c r="Z1106" s="5" t="str">
        <f>HYPERLINK("https://knigipp.ru/api/getInfo/image/c90ccbd3-0638-11e6-b4aa-5cf3fc4a2490")</f>
        <v>https://knigipp.ru/api/getInfo/image/c90ccbd3-0638-11e6-b4aa-5cf3fc4a2490</v>
      </c>
      <c r="AA1106" s="33">
        <v>16</v>
      </c>
      <c r="AB1106" s="5"/>
      <c r="AC1106" s="5" t="s">
        <v>96</v>
      </c>
      <c r="AD1106" s="5"/>
      <c r="AE1106" s="5" t="s">
        <v>49</v>
      </c>
      <c r="AF1106" s="5"/>
      <c r="AG1106" s="5" t="s">
        <v>4556</v>
      </c>
      <c r="AH1106" s="5" t="s">
        <v>472</v>
      </c>
    </row>
    <row r="1107" spans="2:34" ht="21" customHeight="1" outlineLevel="4" x14ac:dyDescent="0.2">
      <c r="B1107" s="4">
        <v>842</v>
      </c>
      <c r="C1107" s="5" t="s">
        <v>4557</v>
      </c>
      <c r="D1107" s="5" t="s">
        <v>4558</v>
      </c>
      <c r="E1107" s="6" t="s">
        <v>4559</v>
      </c>
      <c r="F1107" s="10"/>
      <c r="G1107" s="11" t="s">
        <v>4553</v>
      </c>
      <c r="H1107" s="12">
        <v>50</v>
      </c>
      <c r="I1107" s="13" t="s">
        <v>41</v>
      </c>
      <c r="J1107" s="13"/>
      <c r="K1107" s="13"/>
      <c r="L1107" s="4">
        <v>10</v>
      </c>
      <c r="M1107" s="14">
        <f>67*(1-P3/100)</f>
        <v>67</v>
      </c>
      <c r="N1107" s="15"/>
      <c r="O1107" s="13">
        <f>M1107*N1107</f>
        <v>0</v>
      </c>
      <c r="P1107" s="22">
        <f>0.095*N1107</f>
        <v>0</v>
      </c>
      <c r="Q1107" s="23">
        <f>0.00034*N1107</f>
        <v>0</v>
      </c>
      <c r="R1107" s="24"/>
      <c r="S1107" s="25" t="s">
        <v>4560</v>
      </c>
      <c r="T1107" s="25" t="s">
        <v>43</v>
      </c>
      <c r="U1107" s="5"/>
      <c r="V1107" s="5"/>
      <c r="W1107" s="5" t="s">
        <v>46</v>
      </c>
      <c r="X1107" s="5" t="s">
        <v>4555</v>
      </c>
      <c r="Y1107" s="5"/>
      <c r="Z1107" s="5" t="str">
        <f>HYPERLINK("https://knigipp.ru/api/getInfo/image/d003aec5-0638-11e6-b4aa-5cf3fc4a2490")</f>
        <v>https://knigipp.ru/api/getInfo/image/d003aec5-0638-11e6-b4aa-5cf3fc4a2490</v>
      </c>
      <c r="AA1107" s="33">
        <v>16</v>
      </c>
      <c r="AB1107" s="5"/>
      <c r="AC1107" s="5" t="s">
        <v>96</v>
      </c>
      <c r="AD1107" s="5"/>
      <c r="AE1107" s="5" t="s">
        <v>49</v>
      </c>
      <c r="AF1107" s="5"/>
      <c r="AG1107" s="5" t="s">
        <v>4556</v>
      </c>
      <c r="AH1107" s="5" t="s">
        <v>472</v>
      </c>
    </row>
    <row r="1108" spans="2:34" ht="21" customHeight="1" outlineLevel="4" x14ac:dyDescent="0.2">
      <c r="B1108" s="4">
        <v>843</v>
      </c>
      <c r="C1108" s="5" t="s">
        <v>4561</v>
      </c>
      <c r="D1108" s="5" t="s">
        <v>4562</v>
      </c>
      <c r="E1108" s="6" t="s">
        <v>4563</v>
      </c>
      <c r="F1108" s="10"/>
      <c r="G1108" s="11" t="s">
        <v>4553</v>
      </c>
      <c r="H1108" s="12">
        <v>50</v>
      </c>
      <c r="I1108" s="13" t="s">
        <v>371</v>
      </c>
      <c r="J1108" s="13"/>
      <c r="K1108" s="13"/>
      <c r="L1108" s="4">
        <v>10</v>
      </c>
      <c r="M1108" s="14">
        <f>67*(1-P3/100)</f>
        <v>67</v>
      </c>
      <c r="N1108" s="15"/>
      <c r="O1108" s="13">
        <f>M1108*N1108</f>
        <v>0</v>
      </c>
      <c r="P1108" s="22">
        <f>0.056*N1108</f>
        <v>0</v>
      </c>
      <c r="Q1108" s="23">
        <f>0.00011*N1108</f>
        <v>0</v>
      </c>
      <c r="R1108" s="24"/>
      <c r="S1108" s="25" t="s">
        <v>4564</v>
      </c>
      <c r="T1108" s="25" t="s">
        <v>43</v>
      </c>
      <c r="U1108" s="5"/>
      <c r="V1108" s="5"/>
      <c r="W1108" s="5" t="s">
        <v>46</v>
      </c>
      <c r="X1108" s="5" t="s">
        <v>4555</v>
      </c>
      <c r="Y1108" s="5"/>
      <c r="Z1108" s="5" t="str">
        <f>HYPERLINK("https://knigipp.ru/api/getInfo/image/de021e44-0638-11e6-b4aa-5cf3fc4a2490")</f>
        <v>https://knigipp.ru/api/getInfo/image/de021e44-0638-11e6-b4aa-5cf3fc4a2490</v>
      </c>
      <c r="AA1108" s="33">
        <v>16</v>
      </c>
      <c r="AB1108" s="5"/>
      <c r="AC1108" s="5" t="s">
        <v>96</v>
      </c>
      <c r="AD1108" s="5"/>
      <c r="AE1108" s="5" t="s">
        <v>49</v>
      </c>
      <c r="AF1108" s="5"/>
      <c r="AG1108" s="5" t="s">
        <v>4556</v>
      </c>
      <c r="AH1108" s="5" t="s">
        <v>472</v>
      </c>
    </row>
    <row r="1109" spans="2:34" ht="22.95" customHeight="1" outlineLevel="3" x14ac:dyDescent="0.2">
      <c r="B1109" s="74" t="s">
        <v>4565</v>
      </c>
      <c r="C1109" s="74"/>
      <c r="D1109" s="74"/>
    </row>
    <row r="1110" spans="2:34" ht="21" customHeight="1" outlineLevel="4" x14ac:dyDescent="0.2">
      <c r="B1110" s="4">
        <v>844</v>
      </c>
      <c r="C1110" s="5" t="s">
        <v>4566</v>
      </c>
      <c r="D1110" s="5" t="s">
        <v>4567</v>
      </c>
      <c r="E1110" s="6" t="s">
        <v>4568</v>
      </c>
      <c r="F1110" s="10"/>
      <c r="G1110" s="11" t="s">
        <v>4553</v>
      </c>
      <c r="H1110" s="12">
        <v>50</v>
      </c>
      <c r="I1110" s="13" t="s">
        <v>41</v>
      </c>
      <c r="J1110" s="13"/>
      <c r="K1110" s="13"/>
      <c r="L1110" s="4">
        <v>25</v>
      </c>
      <c r="M1110" s="14">
        <f>35*(1-P3/100)</f>
        <v>35</v>
      </c>
      <c r="N1110" s="15"/>
      <c r="O1110" s="13">
        <f t="shared" ref="O1110:O1117" si="34">M1110*N1110</f>
        <v>0</v>
      </c>
      <c r="P1110" s="22">
        <f t="shared" ref="P1110:P1117" si="35">0.032*N1110</f>
        <v>0</v>
      </c>
      <c r="Q1110" s="23">
        <f t="shared" ref="Q1110:Q1117" si="36">0.00006*N1110</f>
        <v>0</v>
      </c>
      <c r="R1110" s="24"/>
      <c r="S1110" s="25" t="s">
        <v>4569</v>
      </c>
      <c r="T1110" s="25" t="s">
        <v>43</v>
      </c>
      <c r="U1110" s="5"/>
      <c r="V1110" s="5"/>
      <c r="W1110" s="5" t="s">
        <v>46</v>
      </c>
      <c r="X1110" s="5" t="s">
        <v>4555</v>
      </c>
      <c r="Y1110" s="5"/>
      <c r="Z1110" s="5" t="str">
        <f>HYPERLINK("https://knigipp.ru/api/getInfo/image/1a916033-0639-11e6-b4aa-5cf3fc4a2490")</f>
        <v>https://knigipp.ru/api/getInfo/image/1a916033-0639-11e6-b4aa-5cf3fc4a2490</v>
      </c>
      <c r="AA1110" s="33">
        <v>16</v>
      </c>
      <c r="AB1110" s="5"/>
      <c r="AC1110" s="5" t="s">
        <v>96</v>
      </c>
      <c r="AD1110" s="5"/>
      <c r="AE1110" s="5" t="s">
        <v>49</v>
      </c>
      <c r="AF1110" s="5"/>
      <c r="AG1110" s="5" t="s">
        <v>4556</v>
      </c>
      <c r="AH1110" s="5" t="s">
        <v>4570</v>
      </c>
    </row>
    <row r="1111" spans="2:34" ht="21" customHeight="1" outlineLevel="4" x14ac:dyDescent="0.2">
      <c r="B1111" s="4">
        <v>845</v>
      </c>
      <c r="C1111" s="5" t="s">
        <v>4571</v>
      </c>
      <c r="D1111" s="5" t="s">
        <v>4572</v>
      </c>
      <c r="E1111" s="6" t="s">
        <v>4573</v>
      </c>
      <c r="F1111" s="10"/>
      <c r="G1111" s="11" t="s">
        <v>4553</v>
      </c>
      <c r="H1111" s="12">
        <v>50</v>
      </c>
      <c r="I1111" s="13" t="s">
        <v>41</v>
      </c>
      <c r="J1111" s="13"/>
      <c r="K1111" s="13"/>
      <c r="L1111" s="4">
        <v>25</v>
      </c>
      <c r="M1111" s="14">
        <f>35*(1-P3/100)</f>
        <v>35</v>
      </c>
      <c r="N1111" s="15"/>
      <c r="O1111" s="13">
        <f t="shared" si="34"/>
        <v>0</v>
      </c>
      <c r="P1111" s="22">
        <f t="shared" si="35"/>
        <v>0</v>
      </c>
      <c r="Q1111" s="23">
        <f t="shared" si="36"/>
        <v>0</v>
      </c>
      <c r="R1111" s="24"/>
      <c r="S1111" s="25" t="s">
        <v>4574</v>
      </c>
      <c r="T1111" s="25" t="s">
        <v>43</v>
      </c>
      <c r="U1111" s="5"/>
      <c r="V1111" s="5"/>
      <c r="W1111" s="5" t="s">
        <v>46</v>
      </c>
      <c r="X1111" s="5" t="s">
        <v>4555</v>
      </c>
      <c r="Y1111" s="5"/>
      <c r="Z1111" s="5" t="str">
        <f>HYPERLINK("https://knigipp.ru/api/getInfo/image/3e438fd4-0639-11e6-b4aa-5cf3fc4a2490")</f>
        <v>https://knigipp.ru/api/getInfo/image/3e438fd4-0639-11e6-b4aa-5cf3fc4a2490</v>
      </c>
      <c r="AA1111" s="33">
        <v>16</v>
      </c>
      <c r="AB1111" s="5"/>
      <c r="AC1111" s="5" t="s">
        <v>96</v>
      </c>
      <c r="AD1111" s="5"/>
      <c r="AE1111" s="5" t="s">
        <v>49</v>
      </c>
      <c r="AF1111" s="5"/>
      <c r="AG1111" s="5" t="s">
        <v>4556</v>
      </c>
      <c r="AH1111" s="5" t="s">
        <v>4570</v>
      </c>
    </row>
    <row r="1112" spans="2:34" ht="21" customHeight="1" outlineLevel="4" x14ac:dyDescent="0.2">
      <c r="B1112" s="4">
        <v>846</v>
      </c>
      <c r="C1112" s="5" t="s">
        <v>4575</v>
      </c>
      <c r="D1112" s="5" t="s">
        <v>4576</v>
      </c>
      <c r="E1112" s="6" t="s">
        <v>4577</v>
      </c>
      <c r="F1112" s="10"/>
      <c r="G1112" s="11" t="s">
        <v>4553</v>
      </c>
      <c r="H1112" s="12">
        <v>50</v>
      </c>
      <c r="I1112" s="13" t="s">
        <v>41</v>
      </c>
      <c r="J1112" s="13"/>
      <c r="K1112" s="13"/>
      <c r="L1112" s="4">
        <v>25</v>
      </c>
      <c r="M1112" s="14">
        <f>35*(1-P3/100)</f>
        <v>35</v>
      </c>
      <c r="N1112" s="15"/>
      <c r="O1112" s="13">
        <f t="shared" si="34"/>
        <v>0</v>
      </c>
      <c r="P1112" s="22">
        <f t="shared" si="35"/>
        <v>0</v>
      </c>
      <c r="Q1112" s="23">
        <f t="shared" si="36"/>
        <v>0</v>
      </c>
      <c r="R1112" s="24"/>
      <c r="S1112" s="25" t="s">
        <v>4578</v>
      </c>
      <c r="T1112" s="25" t="s">
        <v>43</v>
      </c>
      <c r="U1112" s="5"/>
      <c r="V1112" s="5"/>
      <c r="W1112" s="5" t="s">
        <v>46</v>
      </c>
      <c r="X1112" s="5" t="s">
        <v>4555</v>
      </c>
      <c r="Y1112" s="5"/>
      <c r="Z1112" s="5" t="str">
        <f>HYPERLINK("https://knigipp.ru/api/getInfo/image/4c92edf1-0639-11e6-b4aa-5cf3fc4a2490")</f>
        <v>https://knigipp.ru/api/getInfo/image/4c92edf1-0639-11e6-b4aa-5cf3fc4a2490</v>
      </c>
      <c r="AA1112" s="33">
        <v>16</v>
      </c>
      <c r="AB1112" s="5"/>
      <c r="AC1112" s="5" t="s">
        <v>96</v>
      </c>
      <c r="AD1112" s="5"/>
      <c r="AE1112" s="5" t="s">
        <v>49</v>
      </c>
      <c r="AF1112" s="5"/>
      <c r="AG1112" s="5" t="s">
        <v>4556</v>
      </c>
      <c r="AH1112" s="5" t="s">
        <v>4570</v>
      </c>
    </row>
    <row r="1113" spans="2:34" ht="21" customHeight="1" outlineLevel="4" x14ac:dyDescent="0.2">
      <c r="B1113" s="4">
        <v>847</v>
      </c>
      <c r="C1113" s="5" t="s">
        <v>4579</v>
      </c>
      <c r="D1113" s="5" t="s">
        <v>4580</v>
      </c>
      <c r="E1113" s="6" t="s">
        <v>4581</v>
      </c>
      <c r="F1113" s="10"/>
      <c r="G1113" s="11" t="s">
        <v>4553</v>
      </c>
      <c r="H1113" s="12">
        <v>50</v>
      </c>
      <c r="I1113" s="13" t="s">
        <v>41</v>
      </c>
      <c r="J1113" s="13"/>
      <c r="K1113" s="13"/>
      <c r="L1113" s="4">
        <v>25</v>
      </c>
      <c r="M1113" s="14">
        <f>35*(1-P3/100)</f>
        <v>35</v>
      </c>
      <c r="N1113" s="15"/>
      <c r="O1113" s="13">
        <f t="shared" si="34"/>
        <v>0</v>
      </c>
      <c r="P1113" s="22">
        <f t="shared" si="35"/>
        <v>0</v>
      </c>
      <c r="Q1113" s="23">
        <f t="shared" si="36"/>
        <v>0</v>
      </c>
      <c r="R1113" s="24"/>
      <c r="S1113" s="25" t="s">
        <v>4582</v>
      </c>
      <c r="T1113" s="25" t="s">
        <v>43</v>
      </c>
      <c r="U1113" s="5"/>
      <c r="V1113" s="5"/>
      <c r="W1113" s="5" t="s">
        <v>46</v>
      </c>
      <c r="X1113" s="5" t="s">
        <v>4555</v>
      </c>
      <c r="Y1113" s="5"/>
      <c r="Z1113" s="5" t="str">
        <f>HYPERLINK("https://knigipp.ru/api/getInfo/image/52d74a0f-0639-11e6-b4aa-5cf3fc4a2490")</f>
        <v>https://knigipp.ru/api/getInfo/image/52d74a0f-0639-11e6-b4aa-5cf3fc4a2490</v>
      </c>
      <c r="AA1113" s="33">
        <v>16</v>
      </c>
      <c r="AB1113" s="5"/>
      <c r="AC1113" s="5" t="s">
        <v>96</v>
      </c>
      <c r="AD1113" s="5"/>
      <c r="AE1113" s="5" t="s">
        <v>49</v>
      </c>
      <c r="AF1113" s="5"/>
      <c r="AG1113" s="5" t="s">
        <v>4556</v>
      </c>
      <c r="AH1113" s="5" t="s">
        <v>4570</v>
      </c>
    </row>
    <row r="1114" spans="2:34" ht="21" customHeight="1" outlineLevel="4" x14ac:dyDescent="0.2">
      <c r="B1114" s="4">
        <v>848</v>
      </c>
      <c r="C1114" s="5" t="s">
        <v>4583</v>
      </c>
      <c r="D1114" s="5" t="s">
        <v>4584</v>
      </c>
      <c r="E1114" s="6" t="s">
        <v>4585</v>
      </c>
      <c r="F1114" s="10"/>
      <c r="G1114" s="11" t="s">
        <v>4553</v>
      </c>
      <c r="H1114" s="12">
        <v>50</v>
      </c>
      <c r="I1114" s="13" t="s">
        <v>41</v>
      </c>
      <c r="J1114" s="13"/>
      <c r="K1114" s="13"/>
      <c r="L1114" s="4">
        <v>25</v>
      </c>
      <c r="M1114" s="14">
        <f>35*(1-P3/100)</f>
        <v>35</v>
      </c>
      <c r="N1114" s="15"/>
      <c r="O1114" s="13">
        <f t="shared" si="34"/>
        <v>0</v>
      </c>
      <c r="P1114" s="22">
        <f t="shared" si="35"/>
        <v>0</v>
      </c>
      <c r="Q1114" s="23">
        <f t="shared" si="36"/>
        <v>0</v>
      </c>
      <c r="R1114" s="24"/>
      <c r="S1114" s="25" t="s">
        <v>4586</v>
      </c>
      <c r="T1114" s="25" t="s">
        <v>43</v>
      </c>
      <c r="U1114" s="5"/>
      <c r="V1114" s="5"/>
      <c r="W1114" s="5" t="s">
        <v>46</v>
      </c>
      <c r="X1114" s="5" t="s">
        <v>4555</v>
      </c>
      <c r="Y1114" s="5"/>
      <c r="Z1114" s="5" t="str">
        <f>HYPERLINK("https://knigipp.ru/api/getInfo/image/5f8d3c58-0639-11e6-b4aa-5cf3fc4a2490")</f>
        <v>https://knigipp.ru/api/getInfo/image/5f8d3c58-0639-11e6-b4aa-5cf3fc4a2490</v>
      </c>
      <c r="AA1114" s="33">
        <v>16</v>
      </c>
      <c r="AB1114" s="5"/>
      <c r="AC1114" s="5" t="s">
        <v>96</v>
      </c>
      <c r="AD1114" s="5"/>
      <c r="AE1114" s="5" t="s">
        <v>49</v>
      </c>
      <c r="AF1114" s="5"/>
      <c r="AG1114" s="5" t="s">
        <v>4556</v>
      </c>
      <c r="AH1114" s="5" t="s">
        <v>4570</v>
      </c>
    </row>
    <row r="1115" spans="2:34" ht="21" customHeight="1" outlineLevel="4" x14ac:dyDescent="0.2">
      <c r="B1115" s="4">
        <v>849</v>
      </c>
      <c r="C1115" s="5" t="s">
        <v>4587</v>
      </c>
      <c r="D1115" s="5" t="s">
        <v>4588</v>
      </c>
      <c r="E1115" s="6" t="s">
        <v>4589</v>
      </c>
      <c r="F1115" s="10"/>
      <c r="G1115" s="11" t="s">
        <v>4553</v>
      </c>
      <c r="H1115" s="12">
        <v>50</v>
      </c>
      <c r="I1115" s="13" t="s">
        <v>41</v>
      </c>
      <c r="J1115" s="13"/>
      <c r="K1115" s="13"/>
      <c r="L1115" s="4">
        <v>25</v>
      </c>
      <c r="M1115" s="14">
        <f>35*(1-P3/100)</f>
        <v>35</v>
      </c>
      <c r="N1115" s="15"/>
      <c r="O1115" s="13">
        <f t="shared" si="34"/>
        <v>0</v>
      </c>
      <c r="P1115" s="22">
        <f t="shared" si="35"/>
        <v>0</v>
      </c>
      <c r="Q1115" s="23">
        <f t="shared" si="36"/>
        <v>0</v>
      </c>
      <c r="R1115" s="24"/>
      <c r="S1115" s="25" t="s">
        <v>4590</v>
      </c>
      <c r="T1115" s="25" t="s">
        <v>43</v>
      </c>
      <c r="U1115" s="5"/>
      <c r="V1115" s="5"/>
      <c r="W1115" s="5" t="s">
        <v>46</v>
      </c>
      <c r="X1115" s="5" t="s">
        <v>4555</v>
      </c>
      <c r="Y1115" s="5"/>
      <c r="Z1115" s="5" t="str">
        <f>HYPERLINK("https://knigipp.ru/api/getInfo/image/4442e430-0639-11e6-b4aa-5cf3fc4a2490")</f>
        <v>https://knigipp.ru/api/getInfo/image/4442e430-0639-11e6-b4aa-5cf3fc4a2490</v>
      </c>
      <c r="AA1115" s="33">
        <v>16</v>
      </c>
      <c r="AB1115" s="5"/>
      <c r="AC1115" s="5" t="s">
        <v>96</v>
      </c>
      <c r="AD1115" s="5"/>
      <c r="AE1115" s="5" t="s">
        <v>49</v>
      </c>
      <c r="AF1115" s="5"/>
      <c r="AG1115" s="5" t="s">
        <v>4556</v>
      </c>
      <c r="AH1115" s="5" t="s">
        <v>4570</v>
      </c>
    </row>
    <row r="1116" spans="2:34" ht="21" customHeight="1" outlineLevel="4" x14ac:dyDescent="0.2">
      <c r="B1116" s="4">
        <v>850</v>
      </c>
      <c r="C1116" s="5" t="s">
        <v>4591</v>
      </c>
      <c r="D1116" s="5" t="s">
        <v>4592</v>
      </c>
      <c r="E1116" s="6" t="s">
        <v>4593</v>
      </c>
      <c r="F1116" s="10"/>
      <c r="G1116" s="11" t="s">
        <v>4553</v>
      </c>
      <c r="H1116" s="12">
        <v>50</v>
      </c>
      <c r="I1116" s="13" t="s">
        <v>41</v>
      </c>
      <c r="J1116" s="13"/>
      <c r="K1116" s="13"/>
      <c r="L1116" s="4">
        <v>25</v>
      </c>
      <c r="M1116" s="14">
        <f>35*(1-P3/100)</f>
        <v>35</v>
      </c>
      <c r="N1116" s="15"/>
      <c r="O1116" s="13">
        <f t="shared" si="34"/>
        <v>0</v>
      </c>
      <c r="P1116" s="22">
        <f t="shared" si="35"/>
        <v>0</v>
      </c>
      <c r="Q1116" s="23">
        <f t="shared" si="36"/>
        <v>0</v>
      </c>
      <c r="R1116" s="24"/>
      <c r="S1116" s="25" t="s">
        <v>4594</v>
      </c>
      <c r="T1116" s="25" t="s">
        <v>43</v>
      </c>
      <c r="U1116" s="5"/>
      <c r="V1116" s="5"/>
      <c r="W1116" s="5" t="s">
        <v>46</v>
      </c>
      <c r="X1116" s="5" t="s">
        <v>4555</v>
      </c>
      <c r="Y1116" s="5"/>
      <c r="Z1116" s="5" t="str">
        <f>HYPERLINK("https://knigipp.ru/api/getInfo/image/3337b2f8-0639-11e6-b4aa-5cf3fc4a2490")</f>
        <v>https://knigipp.ru/api/getInfo/image/3337b2f8-0639-11e6-b4aa-5cf3fc4a2490</v>
      </c>
      <c r="AA1116" s="33">
        <v>16</v>
      </c>
      <c r="AB1116" s="5"/>
      <c r="AC1116" s="5" t="s">
        <v>96</v>
      </c>
      <c r="AD1116" s="5"/>
      <c r="AE1116" s="5" t="s">
        <v>49</v>
      </c>
      <c r="AF1116" s="5"/>
      <c r="AG1116" s="5" t="s">
        <v>4556</v>
      </c>
      <c r="AH1116" s="5" t="s">
        <v>4570</v>
      </c>
    </row>
    <row r="1117" spans="2:34" ht="21" customHeight="1" outlineLevel="4" x14ac:dyDescent="0.2">
      <c r="B1117" s="4">
        <v>851</v>
      </c>
      <c r="C1117" s="5" t="s">
        <v>4595</v>
      </c>
      <c r="D1117" s="5" t="s">
        <v>4596</v>
      </c>
      <c r="E1117" s="6" t="s">
        <v>4597</v>
      </c>
      <c r="F1117" s="10"/>
      <c r="G1117" s="11" t="s">
        <v>4553</v>
      </c>
      <c r="H1117" s="12">
        <v>50</v>
      </c>
      <c r="I1117" s="13" t="s">
        <v>41</v>
      </c>
      <c r="J1117" s="13"/>
      <c r="K1117" s="13"/>
      <c r="L1117" s="4">
        <v>25</v>
      </c>
      <c r="M1117" s="14">
        <f>35*(1-P3/100)</f>
        <v>35</v>
      </c>
      <c r="N1117" s="15"/>
      <c r="O1117" s="13">
        <f t="shared" si="34"/>
        <v>0</v>
      </c>
      <c r="P1117" s="22">
        <f t="shared" si="35"/>
        <v>0</v>
      </c>
      <c r="Q1117" s="23">
        <f t="shared" si="36"/>
        <v>0</v>
      </c>
      <c r="R1117" s="24"/>
      <c r="S1117" s="25" t="s">
        <v>4598</v>
      </c>
      <c r="T1117" s="25" t="s">
        <v>43</v>
      </c>
      <c r="U1117" s="5"/>
      <c r="V1117" s="5"/>
      <c r="W1117" s="5" t="s">
        <v>46</v>
      </c>
      <c r="X1117" s="5" t="s">
        <v>4555</v>
      </c>
      <c r="Y1117" s="5"/>
      <c r="Z1117" s="5" t="str">
        <f>HYPERLINK("https://knigipp.ru/api/getInfo/image/68dbf8cf-0639-11e6-b4aa-5cf3fc4a2490")</f>
        <v>https://knigipp.ru/api/getInfo/image/68dbf8cf-0639-11e6-b4aa-5cf3fc4a2490</v>
      </c>
      <c r="AA1117" s="33">
        <v>16</v>
      </c>
      <c r="AB1117" s="5"/>
      <c r="AC1117" s="5" t="s">
        <v>96</v>
      </c>
      <c r="AD1117" s="5"/>
      <c r="AE1117" s="5" t="s">
        <v>49</v>
      </c>
      <c r="AF1117" s="5"/>
      <c r="AG1117" s="5" t="s">
        <v>4556</v>
      </c>
      <c r="AH1117" s="5" t="s">
        <v>4570</v>
      </c>
    </row>
    <row r="1118" spans="2:34" ht="22.95" customHeight="1" outlineLevel="3" x14ac:dyDescent="0.2">
      <c r="B1118" s="74" t="s">
        <v>4599</v>
      </c>
      <c r="C1118" s="74"/>
      <c r="D1118" s="74"/>
    </row>
    <row r="1119" spans="2:34" ht="21" customHeight="1" outlineLevel="4" x14ac:dyDescent="0.2">
      <c r="B1119" s="4">
        <v>852</v>
      </c>
      <c r="C1119" s="5" t="s">
        <v>4600</v>
      </c>
      <c r="D1119" s="5" t="s">
        <v>4601</v>
      </c>
      <c r="E1119" s="6" t="s">
        <v>4602</v>
      </c>
      <c r="F1119" s="10"/>
      <c r="G1119" s="11" t="s">
        <v>4553</v>
      </c>
      <c r="H1119" s="12">
        <v>50</v>
      </c>
      <c r="I1119" s="13" t="s">
        <v>41</v>
      </c>
      <c r="J1119" s="13"/>
      <c r="K1119" s="13"/>
      <c r="L1119" s="4">
        <v>20</v>
      </c>
      <c r="M1119" s="14">
        <f>34*(1-P3/100)</f>
        <v>34</v>
      </c>
      <c r="N1119" s="15"/>
      <c r="O1119" s="13">
        <f t="shared" ref="O1119:O1126" si="37">M1119*N1119</f>
        <v>0</v>
      </c>
      <c r="P1119" s="22">
        <f t="shared" ref="P1119:P1126" si="38">0.032*N1119</f>
        <v>0</v>
      </c>
      <c r="Q1119" s="23">
        <f t="shared" ref="Q1119:Q1126" si="39">0.00006*N1119</f>
        <v>0</v>
      </c>
      <c r="R1119" s="24"/>
      <c r="S1119" s="25" t="s">
        <v>4603</v>
      </c>
      <c r="T1119" s="25" t="s">
        <v>43</v>
      </c>
      <c r="U1119" s="5"/>
      <c r="V1119" s="5"/>
      <c r="W1119" s="5" t="s">
        <v>46</v>
      </c>
      <c r="X1119" s="5" t="s">
        <v>4555</v>
      </c>
      <c r="Y1119" s="5"/>
      <c r="Z1119" s="5" t="str">
        <f>HYPERLINK("https://knigipp.ru/api/getInfo/image/a549e78c-0639-11e6-b4aa-5cf3fc4a2490")</f>
        <v>https://knigipp.ru/api/getInfo/image/a549e78c-0639-11e6-b4aa-5cf3fc4a2490</v>
      </c>
      <c r="AA1119" s="33">
        <v>16</v>
      </c>
      <c r="AB1119" s="5"/>
      <c r="AC1119" s="5" t="s">
        <v>96</v>
      </c>
      <c r="AD1119" s="5"/>
      <c r="AE1119" s="5" t="s">
        <v>49</v>
      </c>
      <c r="AF1119" s="5"/>
      <c r="AG1119" s="5" t="s">
        <v>4556</v>
      </c>
      <c r="AH1119" s="5" t="s">
        <v>4604</v>
      </c>
    </row>
    <row r="1120" spans="2:34" ht="21" customHeight="1" outlineLevel="4" x14ac:dyDescent="0.2">
      <c r="B1120" s="4">
        <v>853</v>
      </c>
      <c r="C1120" s="5" t="s">
        <v>4605</v>
      </c>
      <c r="D1120" s="5" t="s">
        <v>4606</v>
      </c>
      <c r="E1120" s="6" t="s">
        <v>4607</v>
      </c>
      <c r="F1120" s="10"/>
      <c r="G1120" s="11" t="s">
        <v>4553</v>
      </c>
      <c r="H1120" s="12">
        <v>50</v>
      </c>
      <c r="I1120" s="13" t="s">
        <v>41</v>
      </c>
      <c r="J1120" s="13"/>
      <c r="K1120" s="13"/>
      <c r="L1120" s="4">
        <v>20</v>
      </c>
      <c r="M1120" s="14">
        <f>34*(1-P3/100)</f>
        <v>34</v>
      </c>
      <c r="N1120" s="15"/>
      <c r="O1120" s="13">
        <f t="shared" si="37"/>
        <v>0</v>
      </c>
      <c r="P1120" s="22">
        <f t="shared" si="38"/>
        <v>0</v>
      </c>
      <c r="Q1120" s="23">
        <f t="shared" si="39"/>
        <v>0</v>
      </c>
      <c r="R1120" s="24"/>
      <c r="S1120" s="25" t="s">
        <v>4608</v>
      </c>
      <c r="T1120" s="25" t="s">
        <v>43</v>
      </c>
      <c r="U1120" s="5"/>
      <c r="V1120" s="5"/>
      <c r="W1120" s="5" t="s">
        <v>46</v>
      </c>
      <c r="X1120" s="5" t="s">
        <v>4555</v>
      </c>
      <c r="Y1120" s="5"/>
      <c r="Z1120" s="5" t="str">
        <f>HYPERLINK("https://knigipp.ru/api/getInfo/image/ba7abc45-0639-11e6-b4aa-5cf3fc4a2490")</f>
        <v>https://knigipp.ru/api/getInfo/image/ba7abc45-0639-11e6-b4aa-5cf3fc4a2490</v>
      </c>
      <c r="AA1120" s="33">
        <v>16</v>
      </c>
      <c r="AB1120" s="5"/>
      <c r="AC1120" s="5" t="s">
        <v>96</v>
      </c>
      <c r="AD1120" s="5"/>
      <c r="AE1120" s="5" t="s">
        <v>49</v>
      </c>
      <c r="AF1120" s="5"/>
      <c r="AG1120" s="5" t="s">
        <v>4556</v>
      </c>
      <c r="AH1120" s="5" t="s">
        <v>4604</v>
      </c>
    </row>
    <row r="1121" spans="2:34" ht="21" customHeight="1" outlineLevel="4" x14ac:dyDescent="0.2">
      <c r="B1121" s="4">
        <v>854</v>
      </c>
      <c r="C1121" s="5" t="s">
        <v>4609</v>
      </c>
      <c r="D1121" s="5" t="s">
        <v>4610</v>
      </c>
      <c r="E1121" s="6" t="s">
        <v>4611</v>
      </c>
      <c r="F1121" s="10"/>
      <c r="G1121" s="11" t="s">
        <v>4553</v>
      </c>
      <c r="H1121" s="12">
        <v>50</v>
      </c>
      <c r="I1121" s="13" t="s">
        <v>41</v>
      </c>
      <c r="J1121" s="13"/>
      <c r="K1121" s="13"/>
      <c r="L1121" s="4">
        <v>20</v>
      </c>
      <c r="M1121" s="14">
        <f>34*(1-P3/100)</f>
        <v>34</v>
      </c>
      <c r="N1121" s="15"/>
      <c r="O1121" s="13">
        <f t="shared" si="37"/>
        <v>0</v>
      </c>
      <c r="P1121" s="22">
        <f t="shared" si="38"/>
        <v>0</v>
      </c>
      <c r="Q1121" s="23">
        <f t="shared" si="39"/>
        <v>0</v>
      </c>
      <c r="R1121" s="24"/>
      <c r="S1121" s="25" t="s">
        <v>4612</v>
      </c>
      <c r="T1121" s="25" t="s">
        <v>43</v>
      </c>
      <c r="U1121" s="5"/>
      <c r="V1121" s="5"/>
      <c r="W1121" s="5" t="s">
        <v>46</v>
      </c>
      <c r="X1121" s="5" t="s">
        <v>4555</v>
      </c>
      <c r="Y1121" s="5"/>
      <c r="Z1121" s="5" t="str">
        <f>HYPERLINK("https://knigipp.ru/api/getInfo/image/c730ae8e-0639-11e6-b4aa-5cf3fc4a2490")</f>
        <v>https://knigipp.ru/api/getInfo/image/c730ae8e-0639-11e6-b4aa-5cf3fc4a2490</v>
      </c>
      <c r="AA1121" s="33">
        <v>16</v>
      </c>
      <c r="AB1121" s="5"/>
      <c r="AC1121" s="5" t="s">
        <v>96</v>
      </c>
      <c r="AD1121" s="5"/>
      <c r="AE1121" s="5" t="s">
        <v>49</v>
      </c>
      <c r="AF1121" s="5"/>
      <c r="AG1121" s="5" t="s">
        <v>4556</v>
      </c>
      <c r="AH1121" s="5" t="s">
        <v>4604</v>
      </c>
    </row>
    <row r="1122" spans="2:34" ht="21" customHeight="1" outlineLevel="4" x14ac:dyDescent="0.2">
      <c r="B1122" s="4">
        <v>855</v>
      </c>
      <c r="C1122" s="5" t="s">
        <v>4613</v>
      </c>
      <c r="D1122" s="5" t="s">
        <v>4614</v>
      </c>
      <c r="E1122" s="6" t="s">
        <v>4615</v>
      </c>
      <c r="F1122" s="10"/>
      <c r="G1122" s="11" t="s">
        <v>4553</v>
      </c>
      <c r="H1122" s="12">
        <v>50</v>
      </c>
      <c r="I1122" s="13" t="s">
        <v>41</v>
      </c>
      <c r="J1122" s="13"/>
      <c r="K1122" s="13"/>
      <c r="L1122" s="4">
        <v>20</v>
      </c>
      <c r="M1122" s="14">
        <f>34*(1-P3/100)</f>
        <v>34</v>
      </c>
      <c r="N1122" s="15"/>
      <c r="O1122" s="13">
        <f t="shared" si="37"/>
        <v>0</v>
      </c>
      <c r="P1122" s="22">
        <f t="shared" si="38"/>
        <v>0</v>
      </c>
      <c r="Q1122" s="23">
        <f t="shared" si="39"/>
        <v>0</v>
      </c>
      <c r="R1122" s="24"/>
      <c r="S1122" s="25" t="s">
        <v>4616</v>
      </c>
      <c r="T1122" s="25" t="s">
        <v>43</v>
      </c>
      <c r="U1122" s="5"/>
      <c r="V1122" s="5"/>
      <c r="W1122" s="5" t="s">
        <v>46</v>
      </c>
      <c r="X1122" s="5" t="s">
        <v>4555</v>
      </c>
      <c r="Y1122" s="5"/>
      <c r="Z1122" s="5" t="str">
        <f>HYPERLINK("https://knigipp.ru/api/getInfo/image/c730ae90-0639-11e6-b4aa-5cf3fc4a2490")</f>
        <v>https://knigipp.ru/api/getInfo/image/c730ae90-0639-11e6-b4aa-5cf3fc4a2490</v>
      </c>
      <c r="AA1122" s="33">
        <v>16</v>
      </c>
      <c r="AB1122" s="5"/>
      <c r="AC1122" s="5" t="s">
        <v>96</v>
      </c>
      <c r="AD1122" s="5"/>
      <c r="AE1122" s="5" t="s">
        <v>49</v>
      </c>
      <c r="AF1122" s="5"/>
      <c r="AG1122" s="5"/>
      <c r="AH1122" s="5" t="s">
        <v>4604</v>
      </c>
    </row>
    <row r="1123" spans="2:34" ht="21" customHeight="1" outlineLevel="4" x14ac:dyDescent="0.2">
      <c r="B1123" s="4">
        <v>856</v>
      </c>
      <c r="C1123" s="5" t="s">
        <v>4617</v>
      </c>
      <c r="D1123" s="5" t="s">
        <v>4618</v>
      </c>
      <c r="E1123" s="6" t="s">
        <v>4619</v>
      </c>
      <c r="F1123" s="10"/>
      <c r="G1123" s="11" t="s">
        <v>4553</v>
      </c>
      <c r="H1123" s="12">
        <v>50</v>
      </c>
      <c r="I1123" s="13" t="s">
        <v>41</v>
      </c>
      <c r="J1123" s="13"/>
      <c r="K1123" s="13"/>
      <c r="L1123" s="4">
        <v>20</v>
      </c>
      <c r="M1123" s="14">
        <f>34*(1-P3/100)</f>
        <v>34</v>
      </c>
      <c r="N1123" s="15"/>
      <c r="O1123" s="13">
        <f t="shared" si="37"/>
        <v>0</v>
      </c>
      <c r="P1123" s="22">
        <f t="shared" si="38"/>
        <v>0</v>
      </c>
      <c r="Q1123" s="23">
        <f t="shared" si="39"/>
        <v>0</v>
      </c>
      <c r="R1123" s="24"/>
      <c r="S1123" s="25" t="s">
        <v>4620</v>
      </c>
      <c r="T1123" s="25" t="s">
        <v>43</v>
      </c>
      <c r="U1123" s="5"/>
      <c r="V1123" s="5"/>
      <c r="W1123" s="5" t="s">
        <v>46</v>
      </c>
      <c r="X1123" s="5" t="s">
        <v>4555</v>
      </c>
      <c r="Y1123" s="5"/>
      <c r="Z1123" s="5" t="str">
        <f>HYPERLINK("https://knigipp.ru/api/getInfo/image/cf002e47-0639-11e6-b4aa-5cf3fc4a2490")</f>
        <v>https://knigipp.ru/api/getInfo/image/cf002e47-0639-11e6-b4aa-5cf3fc4a2490</v>
      </c>
      <c r="AA1123" s="33">
        <v>16</v>
      </c>
      <c r="AB1123" s="5"/>
      <c r="AC1123" s="5" t="s">
        <v>96</v>
      </c>
      <c r="AD1123" s="5"/>
      <c r="AE1123" s="5" t="s">
        <v>49</v>
      </c>
      <c r="AF1123" s="5"/>
      <c r="AG1123" s="5" t="s">
        <v>4556</v>
      </c>
      <c r="AH1123" s="5" t="s">
        <v>4604</v>
      </c>
    </row>
    <row r="1124" spans="2:34" ht="21" customHeight="1" outlineLevel="4" x14ac:dyDescent="0.2">
      <c r="B1124" s="4">
        <v>857</v>
      </c>
      <c r="C1124" s="5" t="s">
        <v>4621</v>
      </c>
      <c r="D1124" s="5" t="s">
        <v>4622</v>
      </c>
      <c r="E1124" s="6" t="s">
        <v>4623</v>
      </c>
      <c r="F1124" s="10"/>
      <c r="G1124" s="11" t="s">
        <v>4553</v>
      </c>
      <c r="H1124" s="12">
        <v>50</v>
      </c>
      <c r="I1124" s="13" t="s">
        <v>41</v>
      </c>
      <c r="J1124" s="13"/>
      <c r="K1124" s="13"/>
      <c r="L1124" s="4">
        <v>20</v>
      </c>
      <c r="M1124" s="14">
        <f>34*(1-P3/100)</f>
        <v>34</v>
      </c>
      <c r="N1124" s="15"/>
      <c r="O1124" s="13">
        <f t="shared" si="37"/>
        <v>0</v>
      </c>
      <c r="P1124" s="22">
        <f t="shared" si="38"/>
        <v>0</v>
      </c>
      <c r="Q1124" s="23">
        <f t="shared" si="39"/>
        <v>0</v>
      </c>
      <c r="R1124" s="24"/>
      <c r="S1124" s="25" t="s">
        <v>4624</v>
      </c>
      <c r="T1124" s="25" t="s">
        <v>43</v>
      </c>
      <c r="U1124" s="5"/>
      <c r="V1124" s="5"/>
      <c r="W1124" s="5" t="s">
        <v>46</v>
      </c>
      <c r="X1124" s="5" t="s">
        <v>4555</v>
      </c>
      <c r="Y1124" s="5"/>
      <c r="Z1124" s="5" t="str">
        <f>HYPERLINK("https://knigipp.ru/api/getInfo/image/c0a02690-0639-11e6-b4aa-5cf3fc4a2490")</f>
        <v>https://knigipp.ru/api/getInfo/image/c0a02690-0639-11e6-b4aa-5cf3fc4a2490</v>
      </c>
      <c r="AA1124" s="33">
        <v>16</v>
      </c>
      <c r="AB1124" s="5"/>
      <c r="AC1124" s="5" t="s">
        <v>96</v>
      </c>
      <c r="AD1124" s="5"/>
      <c r="AE1124" s="5" t="s">
        <v>49</v>
      </c>
      <c r="AF1124" s="5"/>
      <c r="AG1124" s="5" t="s">
        <v>4556</v>
      </c>
      <c r="AH1124" s="5" t="s">
        <v>4604</v>
      </c>
    </row>
    <row r="1125" spans="2:34" ht="21" customHeight="1" outlineLevel="4" x14ac:dyDescent="0.2">
      <c r="B1125" s="4">
        <v>858</v>
      </c>
      <c r="C1125" s="5" t="s">
        <v>4625</v>
      </c>
      <c r="D1125" s="5" t="s">
        <v>4626</v>
      </c>
      <c r="E1125" s="6" t="s">
        <v>4627</v>
      </c>
      <c r="F1125" s="10"/>
      <c r="G1125" s="11" t="s">
        <v>4553</v>
      </c>
      <c r="H1125" s="12">
        <v>50</v>
      </c>
      <c r="I1125" s="13" t="s">
        <v>41</v>
      </c>
      <c r="J1125" s="13"/>
      <c r="K1125" s="13"/>
      <c r="L1125" s="4">
        <v>20</v>
      </c>
      <c r="M1125" s="14">
        <f>34*(1-P3/100)</f>
        <v>34</v>
      </c>
      <c r="N1125" s="15"/>
      <c r="O1125" s="13">
        <f t="shared" si="37"/>
        <v>0</v>
      </c>
      <c r="P1125" s="22">
        <f t="shared" si="38"/>
        <v>0</v>
      </c>
      <c r="Q1125" s="23">
        <f t="shared" si="39"/>
        <v>0</v>
      </c>
      <c r="R1125" s="24"/>
      <c r="S1125" s="25" t="s">
        <v>4628</v>
      </c>
      <c r="T1125" s="25" t="s">
        <v>43</v>
      </c>
      <c r="U1125" s="5"/>
      <c r="V1125" s="5"/>
      <c r="W1125" s="5" t="s">
        <v>46</v>
      </c>
      <c r="X1125" s="5" t="s">
        <v>4555</v>
      </c>
      <c r="Y1125" s="5"/>
      <c r="Z1125" s="5" t="str">
        <f>HYPERLINK("https://knigipp.ru/api/getInfo/image/b0bc1f5d-0639-11e6-b4aa-5cf3fc4a2490")</f>
        <v>https://knigipp.ru/api/getInfo/image/b0bc1f5d-0639-11e6-b4aa-5cf3fc4a2490</v>
      </c>
      <c r="AA1125" s="33">
        <v>16</v>
      </c>
      <c r="AB1125" s="5"/>
      <c r="AC1125" s="5" t="s">
        <v>96</v>
      </c>
      <c r="AD1125" s="5"/>
      <c r="AE1125" s="5" t="s">
        <v>49</v>
      </c>
      <c r="AF1125" s="5"/>
      <c r="AG1125" s="5" t="s">
        <v>4556</v>
      </c>
      <c r="AH1125" s="5" t="s">
        <v>4604</v>
      </c>
    </row>
    <row r="1126" spans="2:34" ht="21" customHeight="1" outlineLevel="4" x14ac:dyDescent="0.2">
      <c r="B1126" s="4">
        <v>859</v>
      </c>
      <c r="C1126" s="5" t="s">
        <v>4629</v>
      </c>
      <c r="D1126" s="5" t="s">
        <v>4630</v>
      </c>
      <c r="E1126" s="6" t="s">
        <v>4631</v>
      </c>
      <c r="F1126" s="10"/>
      <c r="G1126" s="11" t="s">
        <v>4553</v>
      </c>
      <c r="H1126" s="12">
        <v>50</v>
      </c>
      <c r="I1126" s="13" t="s">
        <v>41</v>
      </c>
      <c r="J1126" s="13"/>
      <c r="K1126" s="13"/>
      <c r="L1126" s="4">
        <v>20</v>
      </c>
      <c r="M1126" s="14">
        <f>34*(1-P3/100)</f>
        <v>34</v>
      </c>
      <c r="N1126" s="15"/>
      <c r="O1126" s="13">
        <f t="shared" si="37"/>
        <v>0</v>
      </c>
      <c r="P1126" s="22">
        <f t="shared" si="38"/>
        <v>0</v>
      </c>
      <c r="Q1126" s="23">
        <f t="shared" si="39"/>
        <v>0</v>
      </c>
      <c r="R1126" s="24"/>
      <c r="S1126" s="25" t="s">
        <v>4632</v>
      </c>
      <c r="T1126" s="25" t="s">
        <v>43</v>
      </c>
      <c r="U1126" s="5"/>
      <c r="V1126" s="5"/>
      <c r="W1126" s="5" t="s">
        <v>46</v>
      </c>
      <c r="X1126" s="5" t="s">
        <v>4555</v>
      </c>
      <c r="Y1126" s="5"/>
      <c r="Z1126" s="5" t="str">
        <f>HYPERLINK("https://knigipp.ru/api/getInfo/image/d73acbb2-0639-11e6-b4aa-5cf3fc4a2490")</f>
        <v>https://knigipp.ru/api/getInfo/image/d73acbb2-0639-11e6-b4aa-5cf3fc4a2490</v>
      </c>
      <c r="AA1126" s="33">
        <v>16</v>
      </c>
      <c r="AB1126" s="5"/>
      <c r="AC1126" s="5" t="s">
        <v>96</v>
      </c>
      <c r="AD1126" s="5"/>
      <c r="AE1126" s="5" t="s">
        <v>49</v>
      </c>
      <c r="AF1126" s="5"/>
      <c r="AG1126" s="5" t="s">
        <v>4556</v>
      </c>
      <c r="AH1126" s="5" t="s">
        <v>4604</v>
      </c>
    </row>
    <row r="1127" spans="2:34" ht="22.95" customHeight="1" outlineLevel="3" x14ac:dyDescent="0.2">
      <c r="B1127" s="74" t="s">
        <v>4633</v>
      </c>
      <c r="C1127" s="74"/>
      <c r="D1127" s="74"/>
    </row>
    <row r="1128" spans="2:34" ht="21" customHeight="1" outlineLevel="4" x14ac:dyDescent="0.2">
      <c r="B1128" s="4">
        <v>860</v>
      </c>
      <c r="C1128" s="5" t="s">
        <v>4634</v>
      </c>
      <c r="D1128" s="5" t="s">
        <v>4635</v>
      </c>
      <c r="E1128" s="6" t="s">
        <v>4636</v>
      </c>
      <c r="F1128" s="10"/>
      <c r="G1128" s="11" t="s">
        <v>4637</v>
      </c>
      <c r="H1128" s="12">
        <v>50</v>
      </c>
      <c r="I1128" s="13" t="s">
        <v>41</v>
      </c>
      <c r="J1128" s="13"/>
      <c r="K1128" s="13"/>
      <c r="L1128" s="4">
        <v>20</v>
      </c>
      <c r="M1128" s="14">
        <f>29.7*(1-P3/100)</f>
        <v>29.7</v>
      </c>
      <c r="N1128" s="15"/>
      <c r="O1128" s="13">
        <f>M1128*N1128</f>
        <v>0</v>
      </c>
      <c r="P1128" s="13">
        <v>0</v>
      </c>
      <c r="Q1128" s="13">
        <v>0</v>
      </c>
      <c r="R1128" s="24"/>
      <c r="S1128" s="25" t="s">
        <v>4638</v>
      </c>
      <c r="T1128" s="25" t="s">
        <v>43</v>
      </c>
      <c r="U1128" s="5"/>
      <c r="V1128" s="5"/>
      <c r="W1128" s="5" t="s">
        <v>46</v>
      </c>
      <c r="X1128" s="5"/>
      <c r="Y1128" s="5"/>
      <c r="Z1128" s="5" t="str">
        <f>HYPERLINK("https://knigipp.ru/api/getInfo/image/42f97636-6124-11ee-a245-00155d82e902")</f>
        <v>https://knigipp.ru/api/getInfo/image/42f97636-6124-11ee-a245-00155d82e902</v>
      </c>
      <c r="AA1128" s="33">
        <v>16</v>
      </c>
      <c r="AB1128" s="5" t="s">
        <v>47</v>
      </c>
      <c r="AC1128" s="5" t="s">
        <v>96</v>
      </c>
      <c r="AD1128" s="5"/>
      <c r="AE1128" s="5" t="s">
        <v>49</v>
      </c>
      <c r="AF1128" s="5"/>
      <c r="AG1128" s="5"/>
      <c r="AH1128" s="5" t="s">
        <v>4639</v>
      </c>
    </row>
    <row r="1129" spans="2:34" ht="21" customHeight="1" outlineLevel="4" x14ac:dyDescent="0.2">
      <c r="B1129" s="4">
        <v>861</v>
      </c>
      <c r="C1129" s="5" t="s">
        <v>4640</v>
      </c>
      <c r="D1129" s="5" t="s">
        <v>4641</v>
      </c>
      <c r="E1129" s="6" t="s">
        <v>4642</v>
      </c>
      <c r="F1129" s="10"/>
      <c r="G1129" s="11" t="s">
        <v>4637</v>
      </c>
      <c r="H1129" s="12">
        <v>50</v>
      </c>
      <c r="I1129" s="13" t="s">
        <v>41</v>
      </c>
      <c r="J1129" s="13"/>
      <c r="K1129" s="13"/>
      <c r="L1129" s="4">
        <v>20</v>
      </c>
      <c r="M1129" s="14">
        <f>29.7*(1-P3/100)</f>
        <v>29.7</v>
      </c>
      <c r="N1129" s="15"/>
      <c r="O1129" s="13">
        <f>M1129*N1129</f>
        <v>0</v>
      </c>
      <c r="P1129" s="13">
        <v>0</v>
      </c>
      <c r="Q1129" s="13">
        <v>0</v>
      </c>
      <c r="R1129" s="24"/>
      <c r="S1129" s="25" t="s">
        <v>4643</v>
      </c>
      <c r="T1129" s="25" t="s">
        <v>43</v>
      </c>
      <c r="U1129" s="5"/>
      <c r="V1129" s="5"/>
      <c r="W1129" s="5" t="s">
        <v>46</v>
      </c>
      <c r="X1129" s="5"/>
      <c r="Y1129" s="5"/>
      <c r="Z1129" s="5" t="str">
        <f>HYPERLINK("https://knigipp.ru/api/getInfo/image/df55cf82-6124-11ee-a245-00155d82e902")</f>
        <v>https://knigipp.ru/api/getInfo/image/df55cf82-6124-11ee-a245-00155d82e902</v>
      </c>
      <c r="AA1129" s="33">
        <v>16</v>
      </c>
      <c r="AB1129" s="5" t="s">
        <v>47</v>
      </c>
      <c r="AC1129" s="5" t="s">
        <v>96</v>
      </c>
      <c r="AD1129" s="5"/>
      <c r="AE1129" s="5" t="s">
        <v>49</v>
      </c>
      <c r="AF1129" s="5"/>
      <c r="AG1129" s="5"/>
      <c r="AH1129" s="5" t="s">
        <v>4639</v>
      </c>
    </row>
    <row r="1130" spans="2:34" ht="21" customHeight="1" outlineLevel="4" x14ac:dyDescent="0.2">
      <c r="B1130" s="4">
        <v>862</v>
      </c>
      <c r="C1130" s="5" t="s">
        <v>4644</v>
      </c>
      <c r="D1130" s="5" t="s">
        <v>4645</v>
      </c>
      <c r="E1130" s="6" t="s">
        <v>4646</v>
      </c>
      <c r="F1130" s="10"/>
      <c r="G1130" s="11" t="s">
        <v>4637</v>
      </c>
      <c r="H1130" s="12">
        <v>50</v>
      </c>
      <c r="I1130" s="13" t="s">
        <v>41</v>
      </c>
      <c r="J1130" s="13"/>
      <c r="K1130" s="13"/>
      <c r="L1130" s="4">
        <v>20</v>
      </c>
      <c r="M1130" s="14">
        <f>29.7*(1-P3/100)</f>
        <v>29.7</v>
      </c>
      <c r="N1130" s="15"/>
      <c r="O1130" s="13">
        <f>M1130*N1130</f>
        <v>0</v>
      </c>
      <c r="P1130" s="13">
        <v>0</v>
      </c>
      <c r="Q1130" s="13">
        <v>0</v>
      </c>
      <c r="R1130" s="24"/>
      <c r="S1130" s="25" t="s">
        <v>4647</v>
      </c>
      <c r="T1130" s="25" t="s">
        <v>43</v>
      </c>
      <c r="U1130" s="5"/>
      <c r="V1130" s="5"/>
      <c r="W1130" s="5" t="s">
        <v>46</v>
      </c>
      <c r="X1130" s="5"/>
      <c r="Y1130" s="5"/>
      <c r="Z1130" s="5" t="str">
        <f>HYPERLINK("https://knigipp.ru/api/getInfo/image/00360a5b-6125-11ee-a245-00155d82e902")</f>
        <v>https://knigipp.ru/api/getInfo/image/00360a5b-6125-11ee-a245-00155d82e902</v>
      </c>
      <c r="AA1130" s="33">
        <v>16</v>
      </c>
      <c r="AB1130" s="5" t="s">
        <v>47</v>
      </c>
      <c r="AC1130" s="5" t="s">
        <v>96</v>
      </c>
      <c r="AD1130" s="5"/>
      <c r="AE1130" s="5" t="s">
        <v>49</v>
      </c>
      <c r="AF1130" s="5"/>
      <c r="AG1130" s="5"/>
      <c r="AH1130" s="5" t="s">
        <v>4639</v>
      </c>
    </row>
    <row r="1131" spans="2:34" ht="22.95" customHeight="1" outlineLevel="3" x14ac:dyDescent="0.2">
      <c r="B1131" s="74" t="s">
        <v>4648</v>
      </c>
      <c r="C1131" s="74"/>
      <c r="D1131" s="74"/>
    </row>
    <row r="1132" spans="2:34" ht="21" customHeight="1" outlineLevel="4" x14ac:dyDescent="0.2">
      <c r="B1132" s="4">
        <v>863</v>
      </c>
      <c r="C1132" s="5" t="s">
        <v>4649</v>
      </c>
      <c r="D1132" s="5" t="s">
        <v>4650</v>
      </c>
      <c r="E1132" s="6" t="s">
        <v>4651</v>
      </c>
      <c r="F1132" s="10"/>
      <c r="G1132" s="11" t="s">
        <v>4652</v>
      </c>
      <c r="H1132" s="12">
        <v>50</v>
      </c>
      <c r="I1132" s="13" t="s">
        <v>41</v>
      </c>
      <c r="J1132" s="13"/>
      <c r="K1132" s="13"/>
      <c r="L1132" s="4">
        <v>10</v>
      </c>
      <c r="M1132" s="14">
        <f>67*(1-P3/100)</f>
        <v>67</v>
      </c>
      <c r="N1132" s="15"/>
      <c r="O1132" s="13">
        <f>M1132*N1132</f>
        <v>0</v>
      </c>
      <c r="P1132" s="22">
        <f>0.046*N1132</f>
        <v>0</v>
      </c>
      <c r="Q1132" s="23">
        <f>0.00022*N1132</f>
        <v>0</v>
      </c>
      <c r="R1132" s="24"/>
      <c r="S1132" s="25" t="s">
        <v>4653</v>
      </c>
      <c r="T1132" s="25" t="s">
        <v>43</v>
      </c>
      <c r="U1132" s="5"/>
      <c r="V1132" s="5"/>
      <c r="W1132" s="5" t="s">
        <v>46</v>
      </c>
      <c r="X1132" s="5"/>
      <c r="Y1132" s="5"/>
      <c r="Z1132" s="5" t="str">
        <f>HYPERLINK("https://knigipp.ru/api/getInfo/image/b31a932f-9dca-11eb-a201-ac1f6b442185")</f>
        <v>https://knigipp.ru/api/getInfo/image/b31a932f-9dca-11eb-a201-ac1f6b442185</v>
      </c>
      <c r="AA1132" s="33">
        <v>16</v>
      </c>
      <c r="AB1132" s="5"/>
      <c r="AC1132" s="5" t="s">
        <v>96</v>
      </c>
      <c r="AD1132" s="5"/>
      <c r="AE1132" s="5" t="s">
        <v>49</v>
      </c>
      <c r="AF1132" s="5"/>
      <c r="AG1132" s="5"/>
      <c r="AH1132" s="5" t="s">
        <v>472</v>
      </c>
    </row>
    <row r="1133" spans="2:34" ht="21" customHeight="1" outlineLevel="4" x14ac:dyDescent="0.2">
      <c r="B1133" s="4">
        <v>864</v>
      </c>
      <c r="C1133" s="5" t="s">
        <v>4654</v>
      </c>
      <c r="D1133" s="5" t="s">
        <v>4655</v>
      </c>
      <c r="E1133" s="6" t="s">
        <v>4656</v>
      </c>
      <c r="F1133" s="10"/>
      <c r="G1133" s="11" t="s">
        <v>4657</v>
      </c>
      <c r="H1133" s="12">
        <v>50</v>
      </c>
      <c r="I1133" s="13" t="s">
        <v>41</v>
      </c>
      <c r="J1133" s="13"/>
      <c r="K1133" s="13"/>
      <c r="L1133" s="4">
        <v>10</v>
      </c>
      <c r="M1133" s="14">
        <f>67*(1-P3/100)</f>
        <v>67</v>
      </c>
      <c r="N1133" s="15"/>
      <c r="O1133" s="13">
        <f>M1133*N1133</f>
        <v>0</v>
      </c>
      <c r="P1133" s="22">
        <f>0.064*N1133</f>
        <v>0</v>
      </c>
      <c r="Q1133" s="23">
        <f>0.00016*N1133</f>
        <v>0</v>
      </c>
      <c r="R1133" s="24"/>
      <c r="S1133" s="25" t="s">
        <v>4658</v>
      </c>
      <c r="T1133" s="25" t="s">
        <v>43</v>
      </c>
      <c r="U1133" s="5"/>
      <c r="V1133" s="5"/>
      <c r="W1133" s="5" t="s">
        <v>46</v>
      </c>
      <c r="X1133" s="5"/>
      <c r="Y1133" s="5"/>
      <c r="Z1133" s="5" t="str">
        <f>HYPERLINK("https://knigipp.ru/api/getInfo/image/0e8f9169-9dcb-11eb-a201-ac1f6b442185")</f>
        <v>https://knigipp.ru/api/getInfo/image/0e8f9169-9dcb-11eb-a201-ac1f6b442185</v>
      </c>
      <c r="AA1133" s="33">
        <v>16</v>
      </c>
      <c r="AB1133" s="5"/>
      <c r="AC1133" s="5" t="s">
        <v>96</v>
      </c>
      <c r="AD1133" s="5"/>
      <c r="AE1133" s="5" t="s">
        <v>49</v>
      </c>
      <c r="AF1133" s="5"/>
      <c r="AG1133" s="5"/>
      <c r="AH1133" s="5" t="s">
        <v>472</v>
      </c>
    </row>
    <row r="1134" spans="2:34" ht="22.95" customHeight="1" outlineLevel="3" x14ac:dyDescent="0.2">
      <c r="B1134" s="74" t="s">
        <v>4659</v>
      </c>
      <c r="C1134" s="74"/>
      <c r="D1134" s="74"/>
    </row>
    <row r="1135" spans="2:34" ht="21" customHeight="1" outlineLevel="4" x14ac:dyDescent="0.2">
      <c r="B1135" s="4">
        <v>865</v>
      </c>
      <c r="C1135" s="5" t="s">
        <v>4660</v>
      </c>
      <c r="D1135" s="5" t="s">
        <v>4661</v>
      </c>
      <c r="E1135" s="6" t="s">
        <v>4662</v>
      </c>
      <c r="F1135" s="10"/>
      <c r="G1135" s="11" t="s">
        <v>4663</v>
      </c>
      <c r="H1135" s="12">
        <v>60</v>
      </c>
      <c r="I1135" s="13" t="s">
        <v>41</v>
      </c>
      <c r="J1135" s="13"/>
      <c r="K1135" s="13"/>
      <c r="L1135" s="4">
        <v>5</v>
      </c>
      <c r="M1135" s="14">
        <f>127*(1-P3/100)</f>
        <v>127</v>
      </c>
      <c r="N1135" s="15"/>
      <c r="O1135" s="13">
        <f>M1135*N1135</f>
        <v>0</v>
      </c>
      <c r="P1135" s="22">
        <f>0.056*N1135</f>
        <v>0</v>
      </c>
      <c r="Q1135" s="23">
        <f>0.00039*N1135</f>
        <v>0</v>
      </c>
      <c r="R1135" s="24"/>
      <c r="S1135" s="25" t="s">
        <v>4664</v>
      </c>
      <c r="T1135" s="25" t="s">
        <v>43</v>
      </c>
      <c r="U1135" s="5" t="s">
        <v>4665</v>
      </c>
      <c r="V1135" s="5"/>
      <c r="W1135" s="5" t="s">
        <v>46</v>
      </c>
      <c r="X1135" s="5" t="s">
        <v>4666</v>
      </c>
      <c r="Y1135" s="5"/>
      <c r="Z1135" s="5" t="str">
        <f>HYPERLINK("https://knigipp.ru/api/getInfo/image/a8ebba03-ccc0-11ee-a25a-00155d82e908")</f>
        <v>https://knigipp.ru/api/getInfo/image/a8ebba03-ccc0-11ee-a25a-00155d82e908</v>
      </c>
      <c r="AA1135" s="33">
        <v>16</v>
      </c>
      <c r="AB1135" s="5" t="s">
        <v>47</v>
      </c>
      <c r="AC1135" s="5" t="s">
        <v>96</v>
      </c>
      <c r="AD1135" s="5"/>
      <c r="AE1135" s="5" t="s">
        <v>49</v>
      </c>
      <c r="AF1135" s="5"/>
      <c r="AG1135" s="5"/>
      <c r="AH1135" s="5" t="s">
        <v>4667</v>
      </c>
    </row>
    <row r="1136" spans="2:34" ht="22.95" customHeight="1" outlineLevel="3" x14ac:dyDescent="0.2">
      <c r="B1136" s="74" t="s">
        <v>4668</v>
      </c>
      <c r="C1136" s="74"/>
      <c r="D1136" s="74"/>
    </row>
    <row r="1137" spans="2:34" ht="21" customHeight="1" outlineLevel="4" x14ac:dyDescent="0.2">
      <c r="B1137" s="4">
        <v>866</v>
      </c>
      <c r="C1137" s="5" t="s">
        <v>4669</v>
      </c>
      <c r="D1137" s="5" t="s">
        <v>4670</v>
      </c>
      <c r="E1137" s="6" t="s">
        <v>4671</v>
      </c>
      <c r="F1137" s="10"/>
      <c r="G1137" s="11" t="s">
        <v>4672</v>
      </c>
      <c r="H1137" s="12">
        <v>50</v>
      </c>
      <c r="I1137" s="13" t="s">
        <v>41</v>
      </c>
      <c r="J1137" s="13"/>
      <c r="K1137" s="13"/>
      <c r="L1137" s="4">
        <v>12</v>
      </c>
      <c r="M1137" s="14">
        <f>57*(1-P3/100)</f>
        <v>57</v>
      </c>
      <c r="N1137" s="15"/>
      <c r="O1137" s="13">
        <f>M1137*N1137</f>
        <v>0</v>
      </c>
      <c r="P1137" s="32">
        <f>0.07*N1137</f>
        <v>0</v>
      </c>
      <c r="Q1137" s="23">
        <f>0.00005*N1137</f>
        <v>0</v>
      </c>
      <c r="R1137" s="24"/>
      <c r="S1137" s="25" t="s">
        <v>4673</v>
      </c>
      <c r="T1137" s="25" t="s">
        <v>43</v>
      </c>
      <c r="U1137" s="5"/>
      <c r="V1137" s="5"/>
      <c r="W1137" s="5" t="s">
        <v>46</v>
      </c>
      <c r="X1137" s="5"/>
      <c r="Y1137" s="5"/>
      <c r="Z1137" s="5" t="str">
        <f>HYPERLINK("https://knigipp.ru/api/getInfo/image/9acda8e3-d2fe-11ea-a250-ac1f6b442184")</f>
        <v>https://knigipp.ru/api/getInfo/image/9acda8e3-d2fe-11ea-a250-ac1f6b442184</v>
      </c>
      <c r="AA1137" s="33">
        <v>16</v>
      </c>
      <c r="AB1137" s="5"/>
      <c r="AC1137" s="5" t="s">
        <v>96</v>
      </c>
      <c r="AD1137" s="5"/>
      <c r="AE1137" s="5" t="s">
        <v>49</v>
      </c>
      <c r="AF1137" s="5"/>
      <c r="AG1137" s="5"/>
      <c r="AH1137" s="5" t="s">
        <v>534</v>
      </c>
    </row>
    <row r="1138" spans="2:34" ht="21" customHeight="1" outlineLevel="4" x14ac:dyDescent="0.2">
      <c r="B1138" s="4">
        <v>867</v>
      </c>
      <c r="C1138" s="5" t="s">
        <v>4674</v>
      </c>
      <c r="D1138" s="5" t="s">
        <v>4675</v>
      </c>
      <c r="E1138" s="6" t="s">
        <v>4676</v>
      </c>
      <c r="F1138" s="10"/>
      <c r="G1138" s="11" t="s">
        <v>4677</v>
      </c>
      <c r="H1138" s="12">
        <v>50</v>
      </c>
      <c r="I1138" s="13" t="s">
        <v>41</v>
      </c>
      <c r="J1138" s="13"/>
      <c r="K1138" s="13"/>
      <c r="L1138" s="4">
        <v>12</v>
      </c>
      <c r="M1138" s="14">
        <f>57*(1-P3/100)</f>
        <v>57</v>
      </c>
      <c r="N1138" s="15"/>
      <c r="O1138" s="13">
        <f>M1138*N1138</f>
        <v>0</v>
      </c>
      <c r="P1138" s="22">
        <f>0.051*N1138</f>
        <v>0</v>
      </c>
      <c r="Q1138" s="30">
        <f>0.0008*N1138</f>
        <v>0</v>
      </c>
      <c r="R1138" s="24"/>
      <c r="S1138" s="25" t="s">
        <v>4678</v>
      </c>
      <c r="T1138" s="25" t="s">
        <v>43</v>
      </c>
      <c r="U1138" s="5"/>
      <c r="V1138" s="5"/>
      <c r="W1138" s="5" t="s">
        <v>46</v>
      </c>
      <c r="X1138" s="5"/>
      <c r="Y1138" s="5"/>
      <c r="Z1138" s="5" t="str">
        <f>HYPERLINK("https://knigipp.ru/api/getInfo/image/34b4fa90-7322-11ea-a244-ac1f6b442184")</f>
        <v>https://knigipp.ru/api/getInfo/image/34b4fa90-7322-11ea-a244-ac1f6b442184</v>
      </c>
      <c r="AA1138" s="33">
        <v>16</v>
      </c>
      <c r="AB1138" s="5"/>
      <c r="AC1138" s="5" t="s">
        <v>96</v>
      </c>
      <c r="AD1138" s="5"/>
      <c r="AE1138" s="5" t="s">
        <v>49</v>
      </c>
      <c r="AF1138" s="5"/>
      <c r="AG1138" s="5"/>
      <c r="AH1138" s="5" t="s">
        <v>534</v>
      </c>
    </row>
    <row r="1139" spans="2:34" ht="22.95" customHeight="1" outlineLevel="3" x14ac:dyDescent="0.2">
      <c r="B1139" s="74" t="s">
        <v>4679</v>
      </c>
      <c r="C1139" s="74"/>
      <c r="D1139" s="74"/>
    </row>
    <row r="1140" spans="2:34" ht="21" customHeight="1" outlineLevel="4" x14ac:dyDescent="0.2">
      <c r="B1140" s="4">
        <v>868</v>
      </c>
      <c r="C1140" s="5" t="s">
        <v>4680</v>
      </c>
      <c r="D1140" s="5" t="s">
        <v>4681</v>
      </c>
      <c r="E1140" s="6" t="s">
        <v>4682</v>
      </c>
      <c r="F1140" s="10"/>
      <c r="G1140" s="11" t="s">
        <v>4683</v>
      </c>
      <c r="H1140" s="12">
        <v>50</v>
      </c>
      <c r="I1140" s="13" t="s">
        <v>41</v>
      </c>
      <c r="J1140" s="13"/>
      <c r="K1140" s="13"/>
      <c r="L1140" s="4">
        <v>5</v>
      </c>
      <c r="M1140" s="14">
        <f>117*(1-P3/100)</f>
        <v>117</v>
      </c>
      <c r="N1140" s="15"/>
      <c r="O1140" s="13">
        <f>M1140*N1140</f>
        <v>0</v>
      </c>
      <c r="P1140" s="22">
        <f>0.048*N1140</f>
        <v>0</v>
      </c>
      <c r="Q1140" s="23">
        <f>0.00017*N1140</f>
        <v>0</v>
      </c>
      <c r="R1140" s="24"/>
      <c r="S1140" s="25" t="s">
        <v>4684</v>
      </c>
      <c r="T1140" s="25" t="s">
        <v>43</v>
      </c>
      <c r="U1140" s="5"/>
      <c r="V1140" s="5" t="s">
        <v>4685</v>
      </c>
      <c r="W1140" s="5" t="s">
        <v>46</v>
      </c>
      <c r="X1140" s="5"/>
      <c r="Y1140" s="5"/>
      <c r="Z1140" s="5" t="str">
        <f>HYPERLINK("https://knigipp.ru/api/getInfo/image/4a877937-4f3c-11ef-a262-00155d82e908")</f>
        <v>https://knigipp.ru/api/getInfo/image/4a877937-4f3c-11ef-a262-00155d82e908</v>
      </c>
      <c r="AA1140" s="33">
        <v>16</v>
      </c>
      <c r="AB1140" s="5" t="s">
        <v>47</v>
      </c>
      <c r="AC1140" s="5" t="s">
        <v>96</v>
      </c>
      <c r="AD1140" s="5"/>
      <c r="AE1140" s="5" t="s">
        <v>49</v>
      </c>
      <c r="AF1140" s="5"/>
      <c r="AG1140" s="5"/>
      <c r="AH1140" s="5" t="s">
        <v>4133</v>
      </c>
    </row>
    <row r="1141" spans="2:34" ht="21" customHeight="1" outlineLevel="4" x14ac:dyDescent="0.2">
      <c r="B1141" s="4">
        <v>869</v>
      </c>
      <c r="C1141" s="5" t="s">
        <v>4686</v>
      </c>
      <c r="D1141" s="5" t="s">
        <v>4687</v>
      </c>
      <c r="E1141" s="6" t="s">
        <v>4688</v>
      </c>
      <c r="F1141" s="10"/>
      <c r="G1141" s="11" t="s">
        <v>4683</v>
      </c>
      <c r="H1141" s="12">
        <v>50</v>
      </c>
      <c r="I1141" s="13" t="s">
        <v>41</v>
      </c>
      <c r="J1141" s="13"/>
      <c r="K1141" s="13"/>
      <c r="L1141" s="4">
        <v>5</v>
      </c>
      <c r="M1141" s="14">
        <f>117*(1-P3/100)</f>
        <v>117</v>
      </c>
      <c r="N1141" s="15"/>
      <c r="O1141" s="13">
        <f>M1141*N1141</f>
        <v>0</v>
      </c>
      <c r="P1141" s="22">
        <f>0.048*N1141</f>
        <v>0</v>
      </c>
      <c r="Q1141" s="23">
        <f>0.00017*N1141</f>
        <v>0</v>
      </c>
      <c r="R1141" s="24"/>
      <c r="S1141" s="25" t="s">
        <v>4689</v>
      </c>
      <c r="T1141" s="25" t="s">
        <v>43</v>
      </c>
      <c r="U1141" s="5"/>
      <c r="V1141" s="5" t="s">
        <v>4690</v>
      </c>
      <c r="W1141" s="5" t="s">
        <v>46</v>
      </c>
      <c r="X1141" s="5"/>
      <c r="Y1141" s="5"/>
      <c r="Z1141" s="5" t="str">
        <f>HYPERLINK("https://knigipp.ru/api/getInfo/image/ddd3ff92-4f3c-11ef-a262-00155d82e908")</f>
        <v>https://knigipp.ru/api/getInfo/image/ddd3ff92-4f3c-11ef-a262-00155d82e908</v>
      </c>
      <c r="AA1141" s="33">
        <v>16</v>
      </c>
      <c r="AB1141" s="5" t="s">
        <v>47</v>
      </c>
      <c r="AC1141" s="5" t="s">
        <v>96</v>
      </c>
      <c r="AD1141" s="5"/>
      <c r="AE1141" s="5" t="s">
        <v>49</v>
      </c>
      <c r="AF1141" s="5"/>
      <c r="AG1141" s="5"/>
      <c r="AH1141" s="5" t="s">
        <v>4133</v>
      </c>
    </row>
    <row r="1142" spans="2:34" ht="21" customHeight="1" outlineLevel="4" x14ac:dyDescent="0.2">
      <c r="B1142" s="4">
        <v>870</v>
      </c>
      <c r="C1142" s="5" t="s">
        <v>4691</v>
      </c>
      <c r="D1142" s="5" t="s">
        <v>4692</v>
      </c>
      <c r="E1142" s="6" t="s">
        <v>4693</v>
      </c>
      <c r="F1142" s="10"/>
      <c r="G1142" s="11" t="s">
        <v>4683</v>
      </c>
      <c r="H1142" s="12">
        <v>50</v>
      </c>
      <c r="I1142" s="13" t="s">
        <v>41</v>
      </c>
      <c r="J1142" s="13"/>
      <c r="K1142" s="13"/>
      <c r="L1142" s="4">
        <v>5</v>
      </c>
      <c r="M1142" s="14">
        <f>117*(1-P3/100)</f>
        <v>117</v>
      </c>
      <c r="N1142" s="15"/>
      <c r="O1142" s="13">
        <f>M1142*N1142</f>
        <v>0</v>
      </c>
      <c r="P1142" s="22">
        <f>0.048*N1142</f>
        <v>0</v>
      </c>
      <c r="Q1142" s="23">
        <f>0.00017*N1142</f>
        <v>0</v>
      </c>
      <c r="R1142" s="24"/>
      <c r="S1142" s="25" t="s">
        <v>4694</v>
      </c>
      <c r="T1142" s="25" t="s">
        <v>43</v>
      </c>
      <c r="U1142" s="5"/>
      <c r="V1142" s="5" t="s">
        <v>4695</v>
      </c>
      <c r="W1142" s="5" t="s">
        <v>46</v>
      </c>
      <c r="X1142" s="5"/>
      <c r="Y1142" s="5"/>
      <c r="Z1142" s="5" t="str">
        <f>HYPERLINK("https://knigipp.ru/api/getInfo/image/b483ae7c-4f3c-11ef-a262-00155d82e908")</f>
        <v>https://knigipp.ru/api/getInfo/image/b483ae7c-4f3c-11ef-a262-00155d82e908</v>
      </c>
      <c r="AA1142" s="33">
        <v>16</v>
      </c>
      <c r="AB1142" s="5" t="s">
        <v>47</v>
      </c>
      <c r="AC1142" s="5" t="s">
        <v>96</v>
      </c>
      <c r="AD1142" s="5"/>
      <c r="AE1142" s="5" t="s">
        <v>49</v>
      </c>
      <c r="AF1142" s="5"/>
      <c r="AG1142" s="5"/>
      <c r="AH1142" s="5" t="s">
        <v>4133</v>
      </c>
    </row>
    <row r="1143" spans="2:34" ht="21" customHeight="1" outlineLevel="4" x14ac:dyDescent="0.2">
      <c r="B1143" s="4">
        <v>871</v>
      </c>
      <c r="C1143" s="5" t="s">
        <v>4696</v>
      </c>
      <c r="D1143" s="5" t="s">
        <v>4697</v>
      </c>
      <c r="E1143" s="6" t="s">
        <v>4698</v>
      </c>
      <c r="F1143" s="10"/>
      <c r="G1143" s="11" t="s">
        <v>4683</v>
      </c>
      <c r="H1143" s="12">
        <v>50</v>
      </c>
      <c r="I1143" s="13" t="s">
        <v>41</v>
      </c>
      <c r="J1143" s="13"/>
      <c r="K1143" s="13"/>
      <c r="L1143" s="4">
        <v>5</v>
      </c>
      <c r="M1143" s="14">
        <f>117*(1-P3/100)</f>
        <v>117</v>
      </c>
      <c r="N1143" s="15"/>
      <c r="O1143" s="13">
        <f>M1143*N1143</f>
        <v>0</v>
      </c>
      <c r="P1143" s="22">
        <f>0.048*N1143</f>
        <v>0</v>
      </c>
      <c r="Q1143" s="23">
        <f>0.00017*N1143</f>
        <v>0</v>
      </c>
      <c r="R1143" s="24"/>
      <c r="S1143" s="25" t="s">
        <v>4699</v>
      </c>
      <c r="T1143" s="25" t="s">
        <v>43</v>
      </c>
      <c r="U1143" s="5"/>
      <c r="V1143" s="5" t="s">
        <v>4700</v>
      </c>
      <c r="W1143" s="5" t="s">
        <v>46</v>
      </c>
      <c r="X1143" s="5"/>
      <c r="Y1143" s="5"/>
      <c r="Z1143" s="5" t="str">
        <f>HYPERLINK("https://knigipp.ru/api/getInfo/image/8b014c65-4f3c-11ef-a262-00155d82e908")</f>
        <v>https://knigipp.ru/api/getInfo/image/8b014c65-4f3c-11ef-a262-00155d82e908</v>
      </c>
      <c r="AA1143" s="33">
        <v>16</v>
      </c>
      <c r="AB1143" s="5" t="s">
        <v>47</v>
      </c>
      <c r="AC1143" s="5" t="s">
        <v>96</v>
      </c>
      <c r="AD1143" s="5"/>
      <c r="AE1143" s="5" t="s">
        <v>49</v>
      </c>
      <c r="AF1143" s="5"/>
      <c r="AG1143" s="5"/>
      <c r="AH1143" s="5" t="s">
        <v>4133</v>
      </c>
    </row>
    <row r="1144" spans="2:34" ht="22.95" customHeight="1" outlineLevel="3" x14ac:dyDescent="0.2">
      <c r="B1144" s="74" t="s">
        <v>4701</v>
      </c>
      <c r="C1144" s="74"/>
      <c r="D1144" s="74"/>
    </row>
    <row r="1145" spans="2:34" ht="21" customHeight="1" outlineLevel="4" x14ac:dyDescent="0.2">
      <c r="B1145" s="4">
        <v>872</v>
      </c>
      <c r="C1145" s="5" t="s">
        <v>4702</v>
      </c>
      <c r="D1145" s="5" t="s">
        <v>4703</v>
      </c>
      <c r="E1145" s="6" t="s">
        <v>4704</v>
      </c>
      <c r="F1145" s="10"/>
      <c r="G1145" s="11" t="s">
        <v>4705</v>
      </c>
      <c r="H1145" s="12">
        <v>30</v>
      </c>
      <c r="I1145" s="13" t="s">
        <v>41</v>
      </c>
      <c r="J1145" s="13"/>
      <c r="K1145" s="13"/>
      <c r="L1145" s="4">
        <v>7</v>
      </c>
      <c r="M1145" s="14">
        <f>99*(1-P3/100)</f>
        <v>99</v>
      </c>
      <c r="N1145" s="15"/>
      <c r="O1145" s="13">
        <f>M1145*N1145</f>
        <v>0</v>
      </c>
      <c r="P1145" s="22">
        <f>0.046*N1145</f>
        <v>0</v>
      </c>
      <c r="Q1145" s="23">
        <f>0.00007*N1145</f>
        <v>0</v>
      </c>
      <c r="R1145" s="24"/>
      <c r="S1145" s="25" t="s">
        <v>4706</v>
      </c>
      <c r="T1145" s="25" t="s">
        <v>43</v>
      </c>
      <c r="U1145" s="5"/>
      <c r="V1145" s="5" t="s">
        <v>4707</v>
      </c>
      <c r="W1145" s="5" t="s">
        <v>46</v>
      </c>
      <c r="X1145" s="5"/>
      <c r="Y1145" s="5"/>
      <c r="Z1145" s="5" t="str">
        <f>HYPERLINK("https://knigipp.ru/api/getInfo/image/37f771c3-3a2b-11f0-a27c-00155d82e908")</f>
        <v>https://knigipp.ru/api/getInfo/image/37f771c3-3a2b-11f0-a27c-00155d82e908</v>
      </c>
      <c r="AA1145" s="33">
        <v>16</v>
      </c>
      <c r="AB1145" s="5"/>
      <c r="AC1145" s="5" t="s">
        <v>96</v>
      </c>
      <c r="AD1145" s="5"/>
      <c r="AE1145" s="5" t="s">
        <v>49</v>
      </c>
      <c r="AF1145" s="5"/>
      <c r="AG1145" s="5"/>
      <c r="AH1145" s="5" t="s">
        <v>4708</v>
      </c>
    </row>
    <row r="1146" spans="2:34" ht="21" customHeight="1" outlineLevel="4" x14ac:dyDescent="0.2">
      <c r="B1146" s="4">
        <v>873</v>
      </c>
      <c r="C1146" s="5" t="s">
        <v>4709</v>
      </c>
      <c r="D1146" s="5" t="s">
        <v>4710</v>
      </c>
      <c r="E1146" s="6" t="s">
        <v>4711</v>
      </c>
      <c r="F1146" s="10"/>
      <c r="G1146" s="11" t="s">
        <v>4705</v>
      </c>
      <c r="H1146" s="12">
        <v>30</v>
      </c>
      <c r="I1146" s="13" t="s">
        <v>371</v>
      </c>
      <c r="J1146" s="13"/>
      <c r="K1146" s="13"/>
      <c r="L1146" s="4">
        <v>7</v>
      </c>
      <c r="M1146" s="14">
        <f>99*(1-P3/100)</f>
        <v>99</v>
      </c>
      <c r="N1146" s="15"/>
      <c r="O1146" s="13">
        <f>M1146*N1146</f>
        <v>0</v>
      </c>
      <c r="P1146" s="22">
        <f>0.046*N1146</f>
        <v>0</v>
      </c>
      <c r="Q1146" s="23">
        <f>0.00008*N1146</f>
        <v>0</v>
      </c>
      <c r="R1146" s="24"/>
      <c r="S1146" s="25" t="s">
        <v>4712</v>
      </c>
      <c r="T1146" s="25" t="s">
        <v>43</v>
      </c>
      <c r="U1146" s="5"/>
      <c r="V1146" s="5" t="s">
        <v>4713</v>
      </c>
      <c r="W1146" s="5" t="s">
        <v>46</v>
      </c>
      <c r="X1146" s="5"/>
      <c r="Y1146" s="5"/>
      <c r="Z1146" s="5" t="str">
        <f>HYPERLINK("https://knigipp.ru/api/getInfo/image/84d85b4c-3a2b-11f0-a27c-00155d82e908")</f>
        <v>https://knigipp.ru/api/getInfo/image/84d85b4c-3a2b-11f0-a27c-00155d82e908</v>
      </c>
      <c r="AA1146" s="33">
        <v>16</v>
      </c>
      <c r="AB1146" s="5"/>
      <c r="AC1146" s="5" t="s">
        <v>96</v>
      </c>
      <c r="AD1146" s="5"/>
      <c r="AE1146" s="5" t="s">
        <v>49</v>
      </c>
      <c r="AF1146" s="5"/>
      <c r="AG1146" s="5"/>
      <c r="AH1146" s="5" t="s">
        <v>4708</v>
      </c>
    </row>
    <row r="1147" spans="2:34" ht="21" customHeight="1" outlineLevel="4" x14ac:dyDescent="0.2">
      <c r="B1147" s="4">
        <v>874</v>
      </c>
      <c r="C1147" s="5" t="s">
        <v>4714</v>
      </c>
      <c r="D1147" s="5" t="s">
        <v>4715</v>
      </c>
      <c r="E1147" s="6" t="s">
        <v>4716</v>
      </c>
      <c r="F1147" s="10"/>
      <c r="G1147" s="11" t="s">
        <v>4705</v>
      </c>
      <c r="H1147" s="12">
        <v>30</v>
      </c>
      <c r="I1147" s="13" t="s">
        <v>371</v>
      </c>
      <c r="J1147" s="13"/>
      <c r="K1147" s="13"/>
      <c r="L1147" s="4">
        <v>7</v>
      </c>
      <c r="M1147" s="14">
        <f>99*(1-P3/100)</f>
        <v>99</v>
      </c>
      <c r="N1147" s="15"/>
      <c r="O1147" s="13">
        <f>M1147*N1147</f>
        <v>0</v>
      </c>
      <c r="P1147" s="22">
        <f>0.046*N1147</f>
        <v>0</v>
      </c>
      <c r="Q1147" s="23">
        <f>0.00008*N1147</f>
        <v>0</v>
      </c>
      <c r="R1147" s="24"/>
      <c r="S1147" s="25" t="s">
        <v>4717</v>
      </c>
      <c r="T1147" s="25" t="s">
        <v>43</v>
      </c>
      <c r="U1147" s="5"/>
      <c r="V1147" s="5" t="s">
        <v>4718</v>
      </c>
      <c r="W1147" s="5" t="s">
        <v>46</v>
      </c>
      <c r="X1147" s="5"/>
      <c r="Y1147" s="5"/>
      <c r="Z1147" s="5" t="str">
        <f>HYPERLINK("https://knigipp.ru/api/getInfo/image/622739c3-3a2b-11f0-a27c-00155d82e908")</f>
        <v>https://knigipp.ru/api/getInfo/image/622739c3-3a2b-11f0-a27c-00155d82e908</v>
      </c>
      <c r="AA1147" s="33">
        <v>16</v>
      </c>
      <c r="AB1147" s="5"/>
      <c r="AC1147" s="5" t="s">
        <v>96</v>
      </c>
      <c r="AD1147" s="5"/>
      <c r="AE1147" s="5" t="s">
        <v>49</v>
      </c>
      <c r="AF1147" s="5"/>
      <c r="AG1147" s="5"/>
      <c r="AH1147" s="5" t="s">
        <v>4708</v>
      </c>
    </row>
    <row r="1148" spans="2:34" ht="22.95" customHeight="1" outlineLevel="3" x14ac:dyDescent="0.2">
      <c r="B1148" s="74" t="s">
        <v>4719</v>
      </c>
      <c r="C1148" s="74"/>
      <c r="D1148" s="74"/>
    </row>
    <row r="1149" spans="2:34" ht="21" customHeight="1" outlineLevel="4" x14ac:dyDescent="0.2">
      <c r="B1149" s="4">
        <v>875</v>
      </c>
      <c r="C1149" s="5" t="s">
        <v>4720</v>
      </c>
      <c r="D1149" s="5" t="s">
        <v>4721</v>
      </c>
      <c r="E1149" s="6" t="s">
        <v>4722</v>
      </c>
      <c r="F1149" s="10"/>
      <c r="G1149" s="11" t="s">
        <v>4723</v>
      </c>
      <c r="H1149" s="12">
        <v>50</v>
      </c>
      <c r="I1149" s="13" t="s">
        <v>261</v>
      </c>
      <c r="J1149" s="13"/>
      <c r="K1149" s="13"/>
      <c r="L1149" s="4">
        <v>10</v>
      </c>
      <c r="M1149" s="14">
        <f>65.98*(1-P3/100)</f>
        <v>65.98</v>
      </c>
      <c r="N1149" s="15"/>
      <c r="O1149" s="13">
        <f>M1149*N1149</f>
        <v>0</v>
      </c>
      <c r="P1149" s="22">
        <f>0.067*N1149</f>
        <v>0</v>
      </c>
      <c r="Q1149" s="23">
        <f>0.00011*N1149</f>
        <v>0</v>
      </c>
      <c r="R1149" s="24"/>
      <c r="S1149" s="25" t="s">
        <v>4724</v>
      </c>
      <c r="T1149" s="25" t="s">
        <v>43</v>
      </c>
      <c r="U1149" s="5"/>
      <c r="V1149" s="5"/>
      <c r="W1149" s="5" t="s">
        <v>46</v>
      </c>
      <c r="X1149" s="5"/>
      <c r="Y1149" s="5"/>
      <c r="Z1149" s="5" t="str">
        <f>HYPERLINK("https://knigipp.ru/api/getInfo/image/9e107afa-6229-11eb-a26d-ac1f6b442184")</f>
        <v>https://knigipp.ru/api/getInfo/image/9e107afa-6229-11eb-a26d-ac1f6b442184</v>
      </c>
      <c r="AA1149" s="33">
        <v>16</v>
      </c>
      <c r="AB1149" s="5"/>
      <c r="AC1149" s="5" t="s">
        <v>96</v>
      </c>
      <c r="AD1149" s="5"/>
      <c r="AE1149" s="5" t="s">
        <v>49</v>
      </c>
      <c r="AF1149" s="5"/>
      <c r="AG1149" s="5"/>
      <c r="AH1149" s="5" t="s">
        <v>472</v>
      </c>
    </row>
    <row r="1150" spans="2:34" ht="21" customHeight="1" outlineLevel="4" x14ac:dyDescent="0.2">
      <c r="B1150" s="4">
        <v>876</v>
      </c>
      <c r="C1150" s="5" t="s">
        <v>4725</v>
      </c>
      <c r="D1150" s="5" t="s">
        <v>4726</v>
      </c>
      <c r="E1150" s="6" t="s">
        <v>4727</v>
      </c>
      <c r="F1150" s="10"/>
      <c r="G1150" s="11" t="s">
        <v>4723</v>
      </c>
      <c r="H1150" s="12">
        <v>50</v>
      </c>
      <c r="I1150" s="13" t="s">
        <v>261</v>
      </c>
      <c r="J1150" s="13"/>
      <c r="K1150" s="13"/>
      <c r="L1150" s="4">
        <v>10</v>
      </c>
      <c r="M1150" s="14">
        <f>65.98*(1-P3/100)</f>
        <v>65.98</v>
      </c>
      <c r="N1150" s="15"/>
      <c r="O1150" s="13">
        <f>M1150*N1150</f>
        <v>0</v>
      </c>
      <c r="P1150" s="22">
        <f>0.067*N1150</f>
        <v>0</v>
      </c>
      <c r="Q1150" s="23">
        <f>0.00011*N1150</f>
        <v>0</v>
      </c>
      <c r="R1150" s="24"/>
      <c r="S1150" s="25" t="s">
        <v>4728</v>
      </c>
      <c r="T1150" s="25" t="s">
        <v>43</v>
      </c>
      <c r="U1150" s="5"/>
      <c r="V1150" s="5"/>
      <c r="W1150" s="5" t="s">
        <v>46</v>
      </c>
      <c r="X1150" s="5"/>
      <c r="Y1150" s="5"/>
      <c r="Z1150" s="5" t="str">
        <f>HYPERLINK("https://knigipp.ru/api/getInfo/image/3d7c6158-6229-11eb-a26d-ac1f6b442184")</f>
        <v>https://knigipp.ru/api/getInfo/image/3d7c6158-6229-11eb-a26d-ac1f6b442184</v>
      </c>
      <c r="AA1150" s="33">
        <v>16</v>
      </c>
      <c r="AB1150" s="5"/>
      <c r="AC1150" s="5" t="s">
        <v>96</v>
      </c>
      <c r="AD1150" s="5"/>
      <c r="AE1150" s="5" t="s">
        <v>49</v>
      </c>
      <c r="AF1150" s="5"/>
      <c r="AG1150" s="5"/>
      <c r="AH1150" s="5" t="s">
        <v>472</v>
      </c>
    </row>
    <row r="1151" spans="2:34" ht="22.95" customHeight="1" outlineLevel="3" x14ac:dyDescent="0.2">
      <c r="B1151" s="74" t="s">
        <v>4729</v>
      </c>
      <c r="C1151" s="74"/>
      <c r="D1151" s="74"/>
    </row>
    <row r="1152" spans="2:34" ht="21" customHeight="1" outlineLevel="4" x14ac:dyDescent="0.2">
      <c r="B1152" s="4">
        <v>877</v>
      </c>
      <c r="C1152" s="5" t="s">
        <v>4730</v>
      </c>
      <c r="D1152" s="5" t="s">
        <v>4731</v>
      </c>
      <c r="E1152" s="6" t="s">
        <v>4732</v>
      </c>
      <c r="F1152" s="10"/>
      <c r="G1152" s="11" t="s">
        <v>4733</v>
      </c>
      <c r="H1152" s="12">
        <v>50</v>
      </c>
      <c r="I1152" s="13" t="s">
        <v>261</v>
      </c>
      <c r="J1152" s="13"/>
      <c r="K1152" s="13"/>
      <c r="L1152" s="4">
        <v>10</v>
      </c>
      <c r="M1152" s="14">
        <f>65.98*(1-P3/100)</f>
        <v>65.98</v>
      </c>
      <c r="N1152" s="15"/>
      <c r="O1152" s="13">
        <f>M1152*N1152</f>
        <v>0</v>
      </c>
      <c r="P1152" s="22">
        <f>0.048*N1152</f>
        <v>0</v>
      </c>
      <c r="Q1152" s="30">
        <f>0.0005*N1152</f>
        <v>0</v>
      </c>
      <c r="R1152" s="24"/>
      <c r="S1152" s="25" t="s">
        <v>4734</v>
      </c>
      <c r="T1152" s="25" t="s">
        <v>43</v>
      </c>
      <c r="U1152" s="5"/>
      <c r="V1152" s="5"/>
      <c r="W1152" s="5" t="s">
        <v>46</v>
      </c>
      <c r="X1152" s="5"/>
      <c r="Y1152" s="5"/>
      <c r="Z1152" s="5" t="str">
        <f>HYPERLINK("https://knigipp.ru/api/getInfo/image/fbb49845-f8c6-11ea-a254-ac1f6b442184")</f>
        <v>https://knigipp.ru/api/getInfo/image/fbb49845-f8c6-11ea-a254-ac1f6b442184</v>
      </c>
      <c r="AA1152" s="33">
        <v>16</v>
      </c>
      <c r="AB1152" s="5"/>
      <c r="AC1152" s="5" t="s">
        <v>96</v>
      </c>
      <c r="AD1152" s="5"/>
      <c r="AE1152" s="5" t="s">
        <v>49</v>
      </c>
      <c r="AF1152" s="5"/>
      <c r="AG1152" s="5"/>
      <c r="AH1152" s="5" t="s">
        <v>472</v>
      </c>
    </row>
    <row r="1153" spans="2:34" ht="21" customHeight="1" outlineLevel="4" x14ac:dyDescent="0.2">
      <c r="B1153" s="4">
        <v>878</v>
      </c>
      <c r="C1153" s="5" t="s">
        <v>4735</v>
      </c>
      <c r="D1153" s="5" t="s">
        <v>4736</v>
      </c>
      <c r="E1153" s="6" t="s">
        <v>4737</v>
      </c>
      <c r="F1153" s="10"/>
      <c r="G1153" s="11" t="s">
        <v>4733</v>
      </c>
      <c r="H1153" s="12">
        <v>50</v>
      </c>
      <c r="I1153" s="13" t="s">
        <v>261</v>
      </c>
      <c r="J1153" s="13"/>
      <c r="K1153" s="13"/>
      <c r="L1153" s="4">
        <v>10</v>
      </c>
      <c r="M1153" s="14">
        <f>65.98*(1-P3/100)</f>
        <v>65.98</v>
      </c>
      <c r="N1153" s="15"/>
      <c r="O1153" s="13">
        <f>M1153*N1153</f>
        <v>0</v>
      </c>
      <c r="P1153" s="22">
        <f>0.058*N1153</f>
        <v>0</v>
      </c>
      <c r="Q1153" s="23">
        <f>0.00011*N1153</f>
        <v>0</v>
      </c>
      <c r="R1153" s="24"/>
      <c r="S1153" s="25" t="s">
        <v>4738</v>
      </c>
      <c r="T1153" s="25" t="s">
        <v>43</v>
      </c>
      <c r="U1153" s="5"/>
      <c r="V1153" s="5"/>
      <c r="W1153" s="5" t="s">
        <v>46</v>
      </c>
      <c r="X1153" s="5"/>
      <c r="Y1153" s="5"/>
      <c r="Z1153" s="5" t="str">
        <f>HYPERLINK("https://knigipp.ru/api/getInfo/image/0fbf6263-f8c7-11ea-a254-ac1f6b442184")</f>
        <v>https://knigipp.ru/api/getInfo/image/0fbf6263-f8c7-11ea-a254-ac1f6b442184</v>
      </c>
      <c r="AA1153" s="33">
        <v>16</v>
      </c>
      <c r="AB1153" s="5"/>
      <c r="AC1153" s="5" t="s">
        <v>96</v>
      </c>
      <c r="AD1153" s="5"/>
      <c r="AE1153" s="5" t="s">
        <v>49</v>
      </c>
      <c r="AF1153" s="5"/>
      <c r="AG1153" s="5"/>
      <c r="AH1153" s="5" t="s">
        <v>472</v>
      </c>
    </row>
    <row r="1154" spans="2:34" ht="22.95" customHeight="1" outlineLevel="3" x14ac:dyDescent="0.2">
      <c r="B1154" s="74" t="s">
        <v>4739</v>
      </c>
      <c r="C1154" s="74"/>
      <c r="D1154" s="74"/>
    </row>
    <row r="1155" spans="2:34" ht="21" customHeight="1" outlineLevel="4" x14ac:dyDescent="0.2">
      <c r="B1155" s="4">
        <v>879</v>
      </c>
      <c r="C1155" s="5" t="s">
        <v>4740</v>
      </c>
      <c r="D1155" s="5" t="s">
        <v>4741</v>
      </c>
      <c r="E1155" s="6" t="s">
        <v>4742</v>
      </c>
      <c r="F1155" s="10"/>
      <c r="G1155" s="11" t="s">
        <v>4743</v>
      </c>
      <c r="H1155" s="12">
        <v>50</v>
      </c>
      <c r="I1155" s="13" t="s">
        <v>371</v>
      </c>
      <c r="J1155" s="13"/>
      <c r="K1155" s="13"/>
      <c r="L1155" s="4">
        <v>20</v>
      </c>
      <c r="M1155" s="14">
        <f>35*(1-P3/100)</f>
        <v>35</v>
      </c>
      <c r="N1155" s="15"/>
      <c r="O1155" s="13">
        <f>M1155*N1155</f>
        <v>0</v>
      </c>
      <c r="P1155" s="22">
        <f>0.034*N1155</f>
        <v>0</v>
      </c>
      <c r="Q1155" s="23">
        <f>0.00015*N1155</f>
        <v>0</v>
      </c>
      <c r="R1155" s="24"/>
      <c r="S1155" s="25" t="s">
        <v>4744</v>
      </c>
      <c r="T1155" s="25" t="s">
        <v>43</v>
      </c>
      <c r="U1155" s="5"/>
      <c r="V1155" s="5" t="s">
        <v>4745</v>
      </c>
      <c r="W1155" s="5" t="s">
        <v>46</v>
      </c>
      <c r="X1155" s="5"/>
      <c r="Y1155" s="5"/>
      <c r="Z1155" s="5" t="str">
        <f>HYPERLINK("https://knigipp.ru/api/getInfo/image/7110ae70-0e33-11f0-a279-00155d82e908")</f>
        <v>https://knigipp.ru/api/getInfo/image/7110ae70-0e33-11f0-a279-00155d82e908</v>
      </c>
      <c r="AA1155" s="33">
        <v>12</v>
      </c>
      <c r="AB1155" s="5"/>
      <c r="AC1155" s="5" t="s">
        <v>96</v>
      </c>
      <c r="AD1155" s="5"/>
      <c r="AE1155" s="5" t="s">
        <v>49</v>
      </c>
      <c r="AF1155" s="5"/>
      <c r="AG1155" s="5"/>
      <c r="AH1155" s="5" t="s">
        <v>4746</v>
      </c>
    </row>
    <row r="1156" spans="2:34" ht="21" customHeight="1" outlineLevel="4" x14ac:dyDescent="0.2">
      <c r="B1156" s="4">
        <v>880</v>
      </c>
      <c r="C1156" s="5" t="s">
        <v>4747</v>
      </c>
      <c r="D1156" s="5" t="s">
        <v>4748</v>
      </c>
      <c r="E1156" s="6" t="s">
        <v>4749</v>
      </c>
      <c r="F1156" s="10"/>
      <c r="G1156" s="11" t="s">
        <v>4743</v>
      </c>
      <c r="H1156" s="12">
        <v>50</v>
      </c>
      <c r="I1156" s="13" t="s">
        <v>261</v>
      </c>
      <c r="J1156" s="13"/>
      <c r="K1156" s="13"/>
      <c r="L1156" s="4">
        <v>20</v>
      </c>
      <c r="M1156" s="14">
        <f>35*(1-P3/100)</f>
        <v>35</v>
      </c>
      <c r="N1156" s="15"/>
      <c r="O1156" s="13">
        <f>M1156*N1156</f>
        <v>0</v>
      </c>
      <c r="P1156" s="22">
        <f>0.032*N1156</f>
        <v>0</v>
      </c>
      <c r="Q1156" s="23">
        <f>0.00023*N1156</f>
        <v>0</v>
      </c>
      <c r="R1156" s="24"/>
      <c r="S1156" s="25" t="s">
        <v>4750</v>
      </c>
      <c r="T1156" s="25" t="s">
        <v>43</v>
      </c>
      <c r="U1156" s="5"/>
      <c r="V1156" s="5" t="s">
        <v>4751</v>
      </c>
      <c r="W1156" s="5" t="s">
        <v>46</v>
      </c>
      <c r="X1156" s="5"/>
      <c r="Y1156" s="5"/>
      <c r="Z1156" s="5" t="str">
        <f>HYPERLINK("https://knigipp.ru/api/getInfo/image/e9881527-0e33-11f0-a279-00155d82e908")</f>
        <v>https://knigipp.ru/api/getInfo/image/e9881527-0e33-11f0-a279-00155d82e908</v>
      </c>
      <c r="AA1156" s="33">
        <v>12</v>
      </c>
      <c r="AB1156" s="5"/>
      <c r="AC1156" s="5" t="s">
        <v>96</v>
      </c>
      <c r="AD1156" s="5"/>
      <c r="AE1156" s="5" t="s">
        <v>49</v>
      </c>
      <c r="AF1156" s="5"/>
      <c r="AG1156" s="5"/>
      <c r="AH1156" s="5" t="s">
        <v>4746</v>
      </c>
    </row>
    <row r="1157" spans="2:34" ht="22.95" customHeight="1" outlineLevel="3" x14ac:dyDescent="0.2">
      <c r="B1157" s="74" t="s">
        <v>4752</v>
      </c>
      <c r="C1157" s="74"/>
      <c r="D1157" s="74"/>
    </row>
    <row r="1158" spans="2:34" ht="21" customHeight="1" outlineLevel="4" x14ac:dyDescent="0.2">
      <c r="B1158" s="4">
        <v>881</v>
      </c>
      <c r="C1158" s="5" t="s">
        <v>4753</v>
      </c>
      <c r="D1158" s="5" t="s">
        <v>4754</v>
      </c>
      <c r="E1158" s="6" t="s">
        <v>4755</v>
      </c>
      <c r="F1158" s="10"/>
      <c r="G1158" s="11"/>
      <c r="H1158" s="12">
        <v>50</v>
      </c>
      <c r="I1158" s="13" t="s">
        <v>41</v>
      </c>
      <c r="J1158" s="13"/>
      <c r="K1158" s="13"/>
      <c r="L1158" s="4">
        <v>25</v>
      </c>
      <c r="M1158" s="14">
        <f>37*(1-P3/100)</f>
        <v>37</v>
      </c>
      <c r="N1158" s="15"/>
      <c r="O1158" s="13">
        <f t="shared" ref="O1158:O1163" si="40">M1158*N1158</f>
        <v>0</v>
      </c>
      <c r="P1158" s="22">
        <f>0.033*N1158</f>
        <v>0</v>
      </c>
      <c r="Q1158" s="23">
        <f>0.00003*N1158</f>
        <v>0</v>
      </c>
      <c r="R1158" s="24"/>
      <c r="S1158" s="25" t="s">
        <v>4756</v>
      </c>
      <c r="T1158" s="25" t="s">
        <v>43</v>
      </c>
      <c r="U1158" s="5"/>
      <c r="V1158" s="5"/>
      <c r="W1158" s="5" t="s">
        <v>46</v>
      </c>
      <c r="X1158" s="5"/>
      <c r="Y1158" s="5"/>
      <c r="Z1158" s="5" t="str">
        <f>HYPERLINK("https://knigipp.ru/api/getInfo/image/bb48f636-5287-11ec-a20f-ac1f6b442185")</f>
        <v>https://knigipp.ru/api/getInfo/image/bb48f636-5287-11ec-a20f-ac1f6b442185</v>
      </c>
      <c r="AA1158" s="33">
        <v>16</v>
      </c>
      <c r="AB1158" s="5"/>
      <c r="AC1158" s="5" t="s">
        <v>96</v>
      </c>
      <c r="AD1158" s="5"/>
      <c r="AE1158" s="5" t="s">
        <v>49</v>
      </c>
      <c r="AF1158" s="5"/>
      <c r="AG1158" s="5"/>
      <c r="AH1158" s="5" t="s">
        <v>4757</v>
      </c>
    </row>
    <row r="1159" spans="2:34" ht="21" customHeight="1" outlineLevel="4" x14ac:dyDescent="0.2">
      <c r="B1159" s="4">
        <v>882</v>
      </c>
      <c r="C1159" s="5" t="s">
        <v>4758</v>
      </c>
      <c r="D1159" s="5" t="s">
        <v>4759</v>
      </c>
      <c r="E1159" s="6" t="s">
        <v>4760</v>
      </c>
      <c r="F1159" s="10"/>
      <c r="G1159" s="11"/>
      <c r="H1159" s="12">
        <v>50</v>
      </c>
      <c r="I1159" s="13" t="s">
        <v>41</v>
      </c>
      <c r="J1159" s="13"/>
      <c r="K1159" s="13"/>
      <c r="L1159" s="4">
        <v>25</v>
      </c>
      <c r="M1159" s="14">
        <f>37*(1-P3/100)</f>
        <v>37</v>
      </c>
      <c r="N1159" s="15"/>
      <c r="O1159" s="13">
        <f t="shared" si="40"/>
        <v>0</v>
      </c>
      <c r="P1159" s="22">
        <f>0.036*N1159</f>
        <v>0</v>
      </c>
      <c r="Q1159" s="23">
        <f>0.00003*N1159</f>
        <v>0</v>
      </c>
      <c r="R1159" s="24"/>
      <c r="S1159" s="25" t="s">
        <v>4761</v>
      </c>
      <c r="T1159" s="25" t="s">
        <v>43</v>
      </c>
      <c r="U1159" s="5"/>
      <c r="V1159" s="5"/>
      <c r="W1159" s="5" t="s">
        <v>46</v>
      </c>
      <c r="X1159" s="5"/>
      <c r="Y1159" s="5"/>
      <c r="Z1159" s="5" t="str">
        <f>HYPERLINK("https://knigipp.ru/api/getInfo/image/10fedaf5-5288-11ec-a20f-ac1f6b442185")</f>
        <v>https://knigipp.ru/api/getInfo/image/10fedaf5-5288-11ec-a20f-ac1f6b442185</v>
      </c>
      <c r="AA1159" s="33">
        <v>16</v>
      </c>
      <c r="AB1159" s="5"/>
      <c r="AC1159" s="5" t="s">
        <v>96</v>
      </c>
      <c r="AD1159" s="5"/>
      <c r="AE1159" s="5" t="s">
        <v>49</v>
      </c>
      <c r="AF1159" s="5"/>
      <c r="AG1159" s="5"/>
      <c r="AH1159" s="5" t="s">
        <v>4757</v>
      </c>
    </row>
    <row r="1160" spans="2:34" ht="21" customHeight="1" outlineLevel="4" x14ac:dyDescent="0.2">
      <c r="B1160" s="4">
        <v>883</v>
      </c>
      <c r="C1160" s="5" t="s">
        <v>4762</v>
      </c>
      <c r="D1160" s="5" t="s">
        <v>4763</v>
      </c>
      <c r="E1160" s="6" t="s">
        <v>4764</v>
      </c>
      <c r="F1160" s="10"/>
      <c r="G1160" s="11"/>
      <c r="H1160" s="12">
        <v>50</v>
      </c>
      <c r="I1160" s="13" t="s">
        <v>41</v>
      </c>
      <c r="J1160" s="13"/>
      <c r="K1160" s="13"/>
      <c r="L1160" s="4">
        <v>25</v>
      </c>
      <c r="M1160" s="14">
        <f>37*(1-P3/100)</f>
        <v>37</v>
      </c>
      <c r="N1160" s="15"/>
      <c r="O1160" s="13">
        <f t="shared" si="40"/>
        <v>0</v>
      </c>
      <c r="P1160" s="13">
        <v>0</v>
      </c>
      <c r="Q1160" s="13">
        <v>0</v>
      </c>
      <c r="R1160" s="24"/>
      <c r="S1160" s="25" t="s">
        <v>4765</v>
      </c>
      <c r="T1160" s="25" t="s">
        <v>43</v>
      </c>
      <c r="U1160" s="5"/>
      <c r="V1160" s="5"/>
      <c r="W1160" s="5" t="s">
        <v>46</v>
      </c>
      <c r="X1160" s="5"/>
      <c r="Y1160" s="5"/>
      <c r="Z1160" s="5" t="str">
        <f>HYPERLINK("https://knigipp.ru/api/getInfo/image/6809b0dc-5288-11ec-a20f-ac1f6b442185")</f>
        <v>https://knigipp.ru/api/getInfo/image/6809b0dc-5288-11ec-a20f-ac1f6b442185</v>
      </c>
      <c r="AA1160" s="33">
        <v>16</v>
      </c>
      <c r="AB1160" s="5"/>
      <c r="AC1160" s="5" t="s">
        <v>96</v>
      </c>
      <c r="AD1160" s="5"/>
      <c r="AE1160" s="5" t="s">
        <v>49</v>
      </c>
      <c r="AF1160" s="5"/>
      <c r="AG1160" s="5"/>
      <c r="AH1160" s="5" t="s">
        <v>4757</v>
      </c>
    </row>
    <row r="1161" spans="2:34" ht="21" customHeight="1" outlineLevel="4" x14ac:dyDescent="0.2">
      <c r="B1161" s="4">
        <v>884</v>
      </c>
      <c r="C1161" s="5" t="s">
        <v>4766</v>
      </c>
      <c r="D1161" s="5" t="s">
        <v>4767</v>
      </c>
      <c r="E1161" s="6" t="s">
        <v>4768</v>
      </c>
      <c r="F1161" s="10"/>
      <c r="G1161" s="11"/>
      <c r="H1161" s="12">
        <v>50</v>
      </c>
      <c r="I1161" s="13" t="s">
        <v>41</v>
      </c>
      <c r="J1161" s="13"/>
      <c r="K1161" s="13"/>
      <c r="L1161" s="4">
        <v>25</v>
      </c>
      <c r="M1161" s="14">
        <f>37*(1-P3/100)</f>
        <v>37</v>
      </c>
      <c r="N1161" s="15"/>
      <c r="O1161" s="13">
        <f t="shared" si="40"/>
        <v>0</v>
      </c>
      <c r="P1161" s="13">
        <v>0</v>
      </c>
      <c r="Q1161" s="13">
        <v>0</v>
      </c>
      <c r="R1161" s="24"/>
      <c r="S1161" s="25" t="s">
        <v>4769</v>
      </c>
      <c r="T1161" s="25" t="s">
        <v>43</v>
      </c>
      <c r="U1161" s="5"/>
      <c r="V1161" s="5"/>
      <c r="W1161" s="5" t="s">
        <v>46</v>
      </c>
      <c r="X1161" s="5"/>
      <c r="Y1161" s="5"/>
      <c r="Z1161" s="5" t="str">
        <f>HYPERLINK("https://knigipp.ru/api/getInfo/image/d5a3ad80-5282-11ec-a20f-ac1f6b442185")</f>
        <v>https://knigipp.ru/api/getInfo/image/d5a3ad80-5282-11ec-a20f-ac1f6b442185</v>
      </c>
      <c r="AA1161" s="33">
        <v>16</v>
      </c>
      <c r="AB1161" s="5"/>
      <c r="AC1161" s="5" t="s">
        <v>96</v>
      </c>
      <c r="AD1161" s="5"/>
      <c r="AE1161" s="5" t="s">
        <v>49</v>
      </c>
      <c r="AF1161" s="5"/>
      <c r="AG1161" s="5"/>
      <c r="AH1161" s="5" t="s">
        <v>4757</v>
      </c>
    </row>
    <row r="1162" spans="2:34" ht="21" customHeight="1" outlineLevel="4" x14ac:dyDescent="0.2">
      <c r="B1162" s="4">
        <v>885</v>
      </c>
      <c r="C1162" s="5" t="s">
        <v>4770</v>
      </c>
      <c r="D1162" s="5" t="s">
        <v>4771</v>
      </c>
      <c r="E1162" s="6" t="s">
        <v>4772</v>
      </c>
      <c r="F1162" s="10"/>
      <c r="G1162" s="11"/>
      <c r="H1162" s="12">
        <v>50</v>
      </c>
      <c r="I1162" s="13" t="s">
        <v>41</v>
      </c>
      <c r="J1162" s="13"/>
      <c r="K1162" s="13"/>
      <c r="L1162" s="4">
        <v>25</v>
      </c>
      <c r="M1162" s="14">
        <f>37*(1-P3/100)</f>
        <v>37</v>
      </c>
      <c r="N1162" s="15"/>
      <c r="O1162" s="13">
        <f t="shared" si="40"/>
        <v>0</v>
      </c>
      <c r="P1162" s="13">
        <v>0</v>
      </c>
      <c r="Q1162" s="13">
        <v>0</v>
      </c>
      <c r="R1162" s="24"/>
      <c r="S1162" s="25" t="s">
        <v>4773</v>
      </c>
      <c r="T1162" s="25" t="s">
        <v>43</v>
      </c>
      <c r="U1162" s="5"/>
      <c r="V1162" s="5"/>
      <c r="W1162" s="5" t="s">
        <v>46</v>
      </c>
      <c r="X1162" s="5"/>
      <c r="Y1162" s="5"/>
      <c r="Z1162" s="5" t="str">
        <f>HYPERLINK("https://knigipp.ru/api/getInfo/image/852de321-5288-11ec-a20f-ac1f6b442185")</f>
        <v>https://knigipp.ru/api/getInfo/image/852de321-5288-11ec-a20f-ac1f6b442185</v>
      </c>
      <c r="AA1162" s="33">
        <v>16</v>
      </c>
      <c r="AB1162" s="5"/>
      <c r="AC1162" s="5" t="s">
        <v>96</v>
      </c>
      <c r="AD1162" s="5"/>
      <c r="AE1162" s="5" t="s">
        <v>49</v>
      </c>
      <c r="AF1162" s="5"/>
      <c r="AG1162" s="5"/>
      <c r="AH1162" s="5" t="s">
        <v>4757</v>
      </c>
    </row>
    <row r="1163" spans="2:34" ht="21" customHeight="1" outlineLevel="4" x14ac:dyDescent="0.2">
      <c r="B1163" s="4">
        <v>886</v>
      </c>
      <c r="C1163" s="5" t="s">
        <v>4774</v>
      </c>
      <c r="D1163" s="5" t="s">
        <v>4775</v>
      </c>
      <c r="E1163" s="6" t="s">
        <v>4776</v>
      </c>
      <c r="F1163" s="10"/>
      <c r="G1163" s="11"/>
      <c r="H1163" s="12">
        <v>50</v>
      </c>
      <c r="I1163" s="13" t="s">
        <v>41</v>
      </c>
      <c r="J1163" s="13"/>
      <c r="K1163" s="13"/>
      <c r="L1163" s="4">
        <v>25</v>
      </c>
      <c r="M1163" s="14">
        <f>37*(1-P3/100)</f>
        <v>37</v>
      </c>
      <c r="N1163" s="15"/>
      <c r="O1163" s="13">
        <f t="shared" si="40"/>
        <v>0</v>
      </c>
      <c r="P1163" s="22">
        <f>0.034*N1163</f>
        <v>0</v>
      </c>
      <c r="Q1163" s="23">
        <f>0.00003*N1163</f>
        <v>0</v>
      </c>
      <c r="R1163" s="24"/>
      <c r="S1163" s="25" t="s">
        <v>4777</v>
      </c>
      <c r="T1163" s="25" t="s">
        <v>43</v>
      </c>
      <c r="U1163" s="5"/>
      <c r="V1163" s="5"/>
      <c r="W1163" s="5" t="s">
        <v>46</v>
      </c>
      <c r="X1163" s="5"/>
      <c r="Y1163" s="5"/>
      <c r="Z1163" s="5" t="str">
        <f>HYPERLINK("https://knigipp.ru/api/getInfo/image/844a46ad-5287-11ec-a20f-ac1f6b442185")</f>
        <v>https://knigipp.ru/api/getInfo/image/844a46ad-5287-11ec-a20f-ac1f6b442185</v>
      </c>
      <c r="AA1163" s="33">
        <v>16</v>
      </c>
      <c r="AB1163" s="5"/>
      <c r="AC1163" s="5" t="s">
        <v>96</v>
      </c>
      <c r="AD1163" s="5"/>
      <c r="AE1163" s="5" t="s">
        <v>49</v>
      </c>
      <c r="AF1163" s="5"/>
      <c r="AG1163" s="5"/>
      <c r="AH1163" s="5" t="s">
        <v>4757</v>
      </c>
    </row>
    <row r="1164" spans="2:34" ht="22.95" customHeight="1" outlineLevel="3" x14ac:dyDescent="0.2">
      <c r="B1164" s="74" t="s">
        <v>4778</v>
      </c>
      <c r="C1164" s="74"/>
      <c r="D1164" s="74"/>
    </row>
    <row r="1165" spans="2:34" ht="21" customHeight="1" outlineLevel="4" x14ac:dyDescent="0.2">
      <c r="B1165" s="4">
        <v>887</v>
      </c>
      <c r="C1165" s="5" t="s">
        <v>4779</v>
      </c>
      <c r="D1165" s="5" t="s">
        <v>4780</v>
      </c>
      <c r="E1165" s="6" t="s">
        <v>4781</v>
      </c>
      <c r="F1165" s="10"/>
      <c r="G1165" s="11" t="s">
        <v>4782</v>
      </c>
      <c r="H1165" s="12">
        <v>30</v>
      </c>
      <c r="I1165" s="13" t="s">
        <v>41</v>
      </c>
      <c r="J1165" s="13"/>
      <c r="K1165" s="13"/>
      <c r="L1165" s="4">
        <v>7</v>
      </c>
      <c r="M1165" s="14">
        <f>87*(1-P3/100)</f>
        <v>87</v>
      </c>
      <c r="N1165" s="15"/>
      <c r="O1165" s="13">
        <f>M1165*N1165</f>
        <v>0</v>
      </c>
      <c r="P1165" s="32">
        <f>0.06*N1165</f>
        <v>0</v>
      </c>
      <c r="Q1165" s="23">
        <f>0.00034*N1165</f>
        <v>0</v>
      </c>
      <c r="R1165" s="24"/>
      <c r="S1165" s="25" t="s">
        <v>4783</v>
      </c>
      <c r="T1165" s="25" t="s">
        <v>43</v>
      </c>
      <c r="U1165" s="5"/>
      <c r="V1165" s="5"/>
      <c r="W1165" s="5" t="s">
        <v>46</v>
      </c>
      <c r="X1165" s="5" t="s">
        <v>4784</v>
      </c>
      <c r="Y1165" s="5"/>
      <c r="Z1165" s="5" t="str">
        <f>HYPERLINK("https://knigipp.ru/api/getInfo/image/c00810b8-9f35-11ee-a257-00155d82e908")</f>
        <v>https://knigipp.ru/api/getInfo/image/c00810b8-9f35-11ee-a257-00155d82e908</v>
      </c>
      <c r="AA1165" s="33">
        <v>24</v>
      </c>
      <c r="AB1165" s="5" t="s">
        <v>47</v>
      </c>
      <c r="AC1165" s="5" t="s">
        <v>96</v>
      </c>
      <c r="AD1165" s="5"/>
      <c r="AE1165" s="5" t="s">
        <v>49</v>
      </c>
      <c r="AF1165" s="5"/>
      <c r="AG1165" s="5"/>
      <c r="AH1165" s="5" t="s">
        <v>4785</v>
      </c>
    </row>
    <row r="1166" spans="2:34" ht="21" customHeight="1" outlineLevel="4" x14ac:dyDescent="0.2">
      <c r="B1166" s="4">
        <v>888</v>
      </c>
      <c r="C1166" s="5" t="s">
        <v>4786</v>
      </c>
      <c r="D1166" s="5" t="s">
        <v>4787</v>
      </c>
      <c r="E1166" s="6" t="s">
        <v>4788</v>
      </c>
      <c r="F1166" s="10"/>
      <c r="G1166" s="11" t="s">
        <v>4782</v>
      </c>
      <c r="H1166" s="12">
        <v>30</v>
      </c>
      <c r="I1166" s="13" t="s">
        <v>41</v>
      </c>
      <c r="J1166" s="13"/>
      <c r="K1166" s="13"/>
      <c r="L1166" s="4">
        <v>7</v>
      </c>
      <c r="M1166" s="14">
        <f>87*(1-P3/100)</f>
        <v>87</v>
      </c>
      <c r="N1166" s="15"/>
      <c r="O1166" s="13">
        <f>M1166*N1166</f>
        <v>0</v>
      </c>
      <c r="P1166" s="22">
        <f>0.052*N1166</f>
        <v>0</v>
      </c>
      <c r="Q1166" s="23">
        <f>0.00009*N1166</f>
        <v>0</v>
      </c>
      <c r="R1166" s="24"/>
      <c r="S1166" s="25" t="s">
        <v>4789</v>
      </c>
      <c r="T1166" s="25" t="s">
        <v>43</v>
      </c>
      <c r="U1166" s="5"/>
      <c r="V1166" s="5"/>
      <c r="W1166" s="5" t="s">
        <v>46</v>
      </c>
      <c r="X1166" s="5" t="s">
        <v>4784</v>
      </c>
      <c r="Y1166" s="5"/>
      <c r="Z1166" s="5" t="str">
        <f>HYPERLINK("https://knigipp.ru/api/getInfo/image/4a24a78a-9f35-11ee-a257-00155d82e908")</f>
        <v>https://knigipp.ru/api/getInfo/image/4a24a78a-9f35-11ee-a257-00155d82e908</v>
      </c>
      <c r="AA1166" s="33">
        <v>24</v>
      </c>
      <c r="AB1166" s="5" t="s">
        <v>47</v>
      </c>
      <c r="AC1166" s="5" t="s">
        <v>96</v>
      </c>
      <c r="AD1166" s="5"/>
      <c r="AE1166" s="5" t="s">
        <v>49</v>
      </c>
      <c r="AF1166" s="5"/>
      <c r="AG1166" s="5"/>
      <c r="AH1166" s="5" t="s">
        <v>4785</v>
      </c>
    </row>
    <row r="1167" spans="2:34" ht="21" customHeight="1" outlineLevel="4" x14ac:dyDescent="0.2">
      <c r="B1167" s="4">
        <v>889</v>
      </c>
      <c r="C1167" s="5" t="s">
        <v>4790</v>
      </c>
      <c r="D1167" s="5" t="s">
        <v>4791</v>
      </c>
      <c r="E1167" s="6" t="s">
        <v>4792</v>
      </c>
      <c r="F1167" s="10"/>
      <c r="G1167" s="11" t="s">
        <v>4782</v>
      </c>
      <c r="H1167" s="12">
        <v>30</v>
      </c>
      <c r="I1167" s="13" t="s">
        <v>41</v>
      </c>
      <c r="J1167" s="13"/>
      <c r="K1167" s="13"/>
      <c r="L1167" s="4">
        <v>7</v>
      </c>
      <c r="M1167" s="14">
        <f>87*(1-P3/100)</f>
        <v>87</v>
      </c>
      <c r="N1167" s="15"/>
      <c r="O1167" s="13">
        <f>M1167*N1167</f>
        <v>0</v>
      </c>
      <c r="P1167" s="32">
        <f>0.06*N1167</f>
        <v>0</v>
      </c>
      <c r="Q1167" s="23">
        <f>0.00034*N1167</f>
        <v>0</v>
      </c>
      <c r="R1167" s="24"/>
      <c r="S1167" s="25" t="s">
        <v>4793</v>
      </c>
      <c r="T1167" s="25" t="s">
        <v>43</v>
      </c>
      <c r="U1167" s="5"/>
      <c r="V1167" s="5"/>
      <c r="W1167" s="5" t="s">
        <v>46</v>
      </c>
      <c r="X1167" s="5" t="s">
        <v>4784</v>
      </c>
      <c r="Y1167" s="5"/>
      <c r="Z1167" s="5" t="str">
        <f>HYPERLINK("https://knigipp.ru/api/getInfo/image/7461137a-9f35-11ee-a257-00155d82e908")</f>
        <v>https://knigipp.ru/api/getInfo/image/7461137a-9f35-11ee-a257-00155d82e908</v>
      </c>
      <c r="AA1167" s="33">
        <v>24</v>
      </c>
      <c r="AB1167" s="5" t="s">
        <v>47</v>
      </c>
      <c r="AC1167" s="5" t="s">
        <v>96</v>
      </c>
      <c r="AD1167" s="5"/>
      <c r="AE1167" s="5" t="s">
        <v>49</v>
      </c>
      <c r="AF1167" s="5"/>
      <c r="AG1167" s="5"/>
      <c r="AH1167" s="5" t="s">
        <v>4785</v>
      </c>
    </row>
    <row r="1168" spans="2:34" ht="21" customHeight="1" outlineLevel="4" x14ac:dyDescent="0.2">
      <c r="B1168" s="4">
        <v>890</v>
      </c>
      <c r="C1168" s="5" t="s">
        <v>4794</v>
      </c>
      <c r="D1168" s="5" t="s">
        <v>4795</v>
      </c>
      <c r="E1168" s="6" t="s">
        <v>4796</v>
      </c>
      <c r="F1168" s="10"/>
      <c r="G1168" s="11" t="s">
        <v>4782</v>
      </c>
      <c r="H1168" s="12">
        <v>30</v>
      </c>
      <c r="I1168" s="13" t="s">
        <v>41</v>
      </c>
      <c r="J1168" s="13"/>
      <c r="K1168" s="13"/>
      <c r="L1168" s="4">
        <v>7</v>
      </c>
      <c r="M1168" s="14">
        <f>87*(1-P3/100)</f>
        <v>87</v>
      </c>
      <c r="N1168" s="15"/>
      <c r="O1168" s="13">
        <f>M1168*N1168</f>
        <v>0</v>
      </c>
      <c r="P1168" s="32">
        <f>0.06*N1168</f>
        <v>0</v>
      </c>
      <c r="Q1168" s="23">
        <f>0.00034*N1168</f>
        <v>0</v>
      </c>
      <c r="R1168" s="24"/>
      <c r="S1168" s="25" t="s">
        <v>4797</v>
      </c>
      <c r="T1168" s="25" t="s">
        <v>43</v>
      </c>
      <c r="U1168" s="5"/>
      <c r="V1168" s="5"/>
      <c r="W1168" s="5" t="s">
        <v>46</v>
      </c>
      <c r="X1168" s="5" t="s">
        <v>4784</v>
      </c>
      <c r="Y1168" s="5"/>
      <c r="Z1168" s="5" t="str">
        <f>HYPERLINK("https://knigipp.ru/api/getInfo/image/9c7de52d-9f35-11ee-a257-00155d82e908")</f>
        <v>https://knigipp.ru/api/getInfo/image/9c7de52d-9f35-11ee-a257-00155d82e908</v>
      </c>
      <c r="AA1168" s="33">
        <v>24</v>
      </c>
      <c r="AB1168" s="5" t="s">
        <v>47</v>
      </c>
      <c r="AC1168" s="5" t="s">
        <v>96</v>
      </c>
      <c r="AD1168" s="5"/>
      <c r="AE1168" s="5" t="s">
        <v>49</v>
      </c>
      <c r="AF1168" s="5"/>
      <c r="AG1168" s="5"/>
      <c r="AH1168" s="5" t="s">
        <v>4785</v>
      </c>
    </row>
    <row r="1169" spans="2:34" ht="22.95" customHeight="1" outlineLevel="3" x14ac:dyDescent="0.2">
      <c r="B1169" s="74" t="s">
        <v>4798</v>
      </c>
      <c r="C1169" s="74"/>
      <c r="D1169" s="74"/>
    </row>
    <row r="1170" spans="2:34" ht="21" customHeight="1" outlineLevel="4" x14ac:dyDescent="0.2">
      <c r="B1170" s="4">
        <v>891</v>
      </c>
      <c r="C1170" s="5" t="s">
        <v>4799</v>
      </c>
      <c r="D1170" s="5" t="s">
        <v>4800</v>
      </c>
      <c r="E1170" s="6" t="s">
        <v>4801</v>
      </c>
      <c r="F1170" s="10"/>
      <c r="G1170" s="11" t="s">
        <v>4802</v>
      </c>
      <c r="H1170" s="12">
        <v>30</v>
      </c>
      <c r="I1170" s="13" t="s">
        <v>371</v>
      </c>
      <c r="J1170" s="13"/>
      <c r="K1170" s="13"/>
      <c r="L1170" s="4">
        <v>10</v>
      </c>
      <c r="M1170" s="14">
        <f>69*(1-P3/100)</f>
        <v>69</v>
      </c>
      <c r="N1170" s="15"/>
      <c r="O1170" s="13">
        <f>M1170*N1170</f>
        <v>0</v>
      </c>
      <c r="P1170" s="32">
        <f>0.06*N1170</f>
        <v>0</v>
      </c>
      <c r="Q1170" s="23">
        <f>0.00014*N1170</f>
        <v>0</v>
      </c>
      <c r="R1170" s="24"/>
      <c r="S1170" s="25" t="s">
        <v>4803</v>
      </c>
      <c r="T1170" s="25" t="s">
        <v>43</v>
      </c>
      <c r="U1170" s="5"/>
      <c r="V1170" s="5"/>
      <c r="W1170" s="5" t="s">
        <v>46</v>
      </c>
      <c r="X1170" s="5"/>
      <c r="Y1170" s="5"/>
      <c r="Z1170" s="5" t="str">
        <f>HYPERLINK("https://knigipp.ru/api/getInfo/image/4c864b8a-02a8-11ed-a213-ac1f6b442185")</f>
        <v>https://knigipp.ru/api/getInfo/image/4c864b8a-02a8-11ed-a213-ac1f6b442185</v>
      </c>
      <c r="AA1170" s="33">
        <v>32</v>
      </c>
      <c r="AB1170" s="5"/>
      <c r="AC1170" s="5" t="s">
        <v>96</v>
      </c>
      <c r="AD1170" s="5"/>
      <c r="AE1170" s="5" t="s">
        <v>49</v>
      </c>
      <c r="AF1170" s="5"/>
      <c r="AG1170" s="5"/>
      <c r="AH1170" s="5" t="s">
        <v>4804</v>
      </c>
    </row>
    <row r="1171" spans="2:34" ht="21" customHeight="1" outlineLevel="4" x14ac:dyDescent="0.2">
      <c r="B1171" s="4">
        <v>892</v>
      </c>
      <c r="C1171" s="5" t="s">
        <v>4805</v>
      </c>
      <c r="D1171" s="5" t="s">
        <v>4806</v>
      </c>
      <c r="E1171" s="6" t="s">
        <v>4807</v>
      </c>
      <c r="F1171" s="10"/>
      <c r="G1171" s="11" t="s">
        <v>4808</v>
      </c>
      <c r="H1171" s="12">
        <v>30</v>
      </c>
      <c r="I1171" s="13" t="s">
        <v>41</v>
      </c>
      <c r="J1171" s="13"/>
      <c r="K1171" s="13"/>
      <c r="L1171" s="4">
        <v>10</v>
      </c>
      <c r="M1171" s="14">
        <f>69*(1-P3/100)</f>
        <v>69</v>
      </c>
      <c r="N1171" s="15"/>
      <c r="O1171" s="13">
        <f>M1171*N1171</f>
        <v>0</v>
      </c>
      <c r="P1171" s="32">
        <f>0.06*N1171</f>
        <v>0</v>
      </c>
      <c r="Q1171" s="23">
        <f>0.00017*N1171</f>
        <v>0</v>
      </c>
      <c r="R1171" s="24"/>
      <c r="S1171" s="25" t="s">
        <v>4809</v>
      </c>
      <c r="T1171" s="25" t="s">
        <v>43</v>
      </c>
      <c r="U1171" s="5"/>
      <c r="V1171" s="5"/>
      <c r="W1171" s="5" t="s">
        <v>46</v>
      </c>
      <c r="X1171" s="5"/>
      <c r="Y1171" s="5"/>
      <c r="Z1171" s="5" t="str">
        <f>HYPERLINK("https://knigipp.ru/api/getInfo/image/98df5336-02a8-11ed-a213-ac1f6b442185")</f>
        <v>https://knigipp.ru/api/getInfo/image/98df5336-02a8-11ed-a213-ac1f6b442185</v>
      </c>
      <c r="AA1171" s="33">
        <v>32</v>
      </c>
      <c r="AB1171" s="5"/>
      <c r="AC1171" s="5" t="s">
        <v>96</v>
      </c>
      <c r="AD1171" s="5"/>
      <c r="AE1171" s="5" t="s">
        <v>49</v>
      </c>
      <c r="AF1171" s="5"/>
      <c r="AG1171" s="5"/>
      <c r="AH1171" s="5" t="s">
        <v>4804</v>
      </c>
    </row>
    <row r="1172" spans="2:34" ht="22.95" customHeight="1" outlineLevel="3" x14ac:dyDescent="0.2">
      <c r="B1172" s="74" t="s">
        <v>4810</v>
      </c>
      <c r="C1172" s="74"/>
      <c r="D1172" s="74"/>
    </row>
    <row r="1173" spans="2:34" ht="21" customHeight="1" outlineLevel="4" x14ac:dyDescent="0.2">
      <c r="B1173" s="4">
        <v>893</v>
      </c>
      <c r="C1173" s="5" t="s">
        <v>4811</v>
      </c>
      <c r="D1173" s="5" t="s">
        <v>4812</v>
      </c>
      <c r="E1173" s="6" t="s">
        <v>4813</v>
      </c>
      <c r="F1173" s="10"/>
      <c r="G1173" s="11" t="s">
        <v>4814</v>
      </c>
      <c r="H1173" s="12">
        <v>30</v>
      </c>
      <c r="I1173" s="13" t="s">
        <v>41</v>
      </c>
      <c r="J1173" s="13"/>
      <c r="K1173" s="13"/>
      <c r="L1173" s="4">
        <v>6</v>
      </c>
      <c r="M1173" s="14">
        <f>107*(1-P3/100)</f>
        <v>107</v>
      </c>
      <c r="N1173" s="15"/>
      <c r="O1173" s="13">
        <f>M1173*N1173</f>
        <v>0</v>
      </c>
      <c r="P1173" s="22">
        <f>0.071*N1173</f>
        <v>0</v>
      </c>
      <c r="Q1173" s="23">
        <f>0.00023*N1173</f>
        <v>0</v>
      </c>
      <c r="R1173" s="24"/>
      <c r="S1173" s="25" t="s">
        <v>4815</v>
      </c>
      <c r="T1173" s="25" t="s">
        <v>43</v>
      </c>
      <c r="U1173" s="5"/>
      <c r="V1173" s="5" t="s">
        <v>4816</v>
      </c>
      <c r="W1173" s="5" t="s">
        <v>46</v>
      </c>
      <c r="X1173" s="5"/>
      <c r="Y1173" s="5"/>
      <c r="Z1173" s="5" t="str">
        <f>HYPERLINK("https://knigipp.ru/api/getInfo/image/d84b202e-66aa-11ee-a245-00155d82e902")</f>
        <v>https://knigipp.ru/api/getInfo/image/d84b202e-66aa-11ee-a245-00155d82e902</v>
      </c>
      <c r="AA1173" s="33">
        <v>32</v>
      </c>
      <c r="AB1173" s="5" t="s">
        <v>47</v>
      </c>
      <c r="AC1173" s="5" t="s">
        <v>96</v>
      </c>
      <c r="AD1173" s="5"/>
      <c r="AE1173" s="5" t="s">
        <v>49</v>
      </c>
      <c r="AF1173" s="5"/>
      <c r="AG1173" s="5"/>
      <c r="AH1173" s="5" t="s">
        <v>4817</v>
      </c>
    </row>
    <row r="1174" spans="2:34" ht="21" customHeight="1" outlineLevel="4" x14ac:dyDescent="0.2">
      <c r="B1174" s="4">
        <v>894</v>
      </c>
      <c r="C1174" s="5" t="s">
        <v>4818</v>
      </c>
      <c r="D1174" s="5" t="s">
        <v>4819</v>
      </c>
      <c r="E1174" s="6" t="s">
        <v>4820</v>
      </c>
      <c r="F1174" s="10"/>
      <c r="G1174" s="11" t="s">
        <v>4821</v>
      </c>
      <c r="H1174" s="12">
        <v>30</v>
      </c>
      <c r="I1174" s="13" t="s">
        <v>41</v>
      </c>
      <c r="J1174" s="13"/>
      <c r="K1174" s="13"/>
      <c r="L1174" s="4">
        <v>6</v>
      </c>
      <c r="M1174" s="14">
        <f>107*(1-P3/100)</f>
        <v>107</v>
      </c>
      <c r="N1174" s="15"/>
      <c r="O1174" s="13">
        <f>M1174*N1174</f>
        <v>0</v>
      </c>
      <c r="P1174" s="22">
        <f>0.075*N1174</f>
        <v>0</v>
      </c>
      <c r="Q1174" s="23">
        <f>0.00015*N1174</f>
        <v>0</v>
      </c>
      <c r="R1174" s="24"/>
      <c r="S1174" s="25" t="s">
        <v>4822</v>
      </c>
      <c r="T1174" s="25" t="s">
        <v>43</v>
      </c>
      <c r="U1174" s="5"/>
      <c r="V1174" s="5" t="s">
        <v>4823</v>
      </c>
      <c r="W1174" s="5" t="s">
        <v>46</v>
      </c>
      <c r="X1174" s="5"/>
      <c r="Y1174" s="5"/>
      <c r="Z1174" s="5" t="str">
        <f>HYPERLINK("https://knigipp.ru/api/getInfo/image/00b1dd48-66ab-11ee-a245-00155d82e902")</f>
        <v>https://knigipp.ru/api/getInfo/image/00b1dd48-66ab-11ee-a245-00155d82e902</v>
      </c>
      <c r="AA1174" s="33">
        <v>32</v>
      </c>
      <c r="AB1174" s="5" t="s">
        <v>47</v>
      </c>
      <c r="AC1174" s="5" t="s">
        <v>96</v>
      </c>
      <c r="AD1174" s="5"/>
      <c r="AE1174" s="5" t="s">
        <v>49</v>
      </c>
      <c r="AF1174" s="5"/>
      <c r="AG1174" s="5"/>
      <c r="AH1174" s="5" t="s">
        <v>4817</v>
      </c>
    </row>
    <row r="1175" spans="2:34" ht="22.95" customHeight="1" outlineLevel="2" x14ac:dyDescent="0.2">
      <c r="B1175" s="73" t="s">
        <v>4824</v>
      </c>
      <c r="C1175" s="73"/>
      <c r="D1175" s="73"/>
    </row>
    <row r="1176" spans="2:34" ht="22.95" customHeight="1" outlineLevel="3" x14ac:dyDescent="0.2">
      <c r="B1176" s="74" t="s">
        <v>4825</v>
      </c>
      <c r="C1176" s="74"/>
      <c r="D1176" s="74"/>
    </row>
    <row r="1177" spans="2:34" ht="21" customHeight="1" outlineLevel="4" x14ac:dyDescent="0.2">
      <c r="B1177" s="4">
        <v>895</v>
      </c>
      <c r="C1177" s="5" t="s">
        <v>4826</v>
      </c>
      <c r="D1177" s="5" t="s">
        <v>4827</v>
      </c>
      <c r="E1177" s="6" t="s">
        <v>4828</v>
      </c>
      <c r="F1177" s="10"/>
      <c r="G1177" s="11" t="s">
        <v>4829</v>
      </c>
      <c r="H1177" s="12">
        <v>25</v>
      </c>
      <c r="I1177" s="13" t="s">
        <v>261</v>
      </c>
      <c r="J1177" s="13"/>
      <c r="K1177" s="13"/>
      <c r="L1177" s="4">
        <v>3</v>
      </c>
      <c r="M1177" s="14">
        <f>187.56*(1-P3/100)</f>
        <v>187.56</v>
      </c>
      <c r="N1177" s="15"/>
      <c r="O1177" s="13">
        <f>M1177*N1177</f>
        <v>0</v>
      </c>
      <c r="P1177" s="32">
        <f>0.14*N1177</f>
        <v>0</v>
      </c>
      <c r="Q1177" s="23">
        <f>0.00022*N1177</f>
        <v>0</v>
      </c>
      <c r="R1177" s="24"/>
      <c r="S1177" s="25" t="s">
        <v>4830</v>
      </c>
      <c r="T1177" s="25" t="s">
        <v>43</v>
      </c>
      <c r="U1177" s="5"/>
      <c r="V1177" s="5"/>
      <c r="W1177" s="5" t="s">
        <v>46</v>
      </c>
      <c r="X1177" s="5"/>
      <c r="Y1177" s="5"/>
      <c r="Z1177" s="5" t="str">
        <f>HYPERLINK("https://knigipp.ru/api/getInfo/image/9de28429-1abc-11eb-a25d-ac1f6b442184")</f>
        <v>https://knigipp.ru/api/getInfo/image/9de28429-1abc-11eb-a25d-ac1f6b442184</v>
      </c>
      <c r="AA1177" s="33">
        <v>32</v>
      </c>
      <c r="AB1177" s="5"/>
      <c r="AC1177" s="5" t="s">
        <v>96</v>
      </c>
      <c r="AD1177" s="5"/>
      <c r="AE1177" s="5" t="s">
        <v>49</v>
      </c>
      <c r="AF1177" s="5"/>
      <c r="AG1177" s="5"/>
      <c r="AH1177" s="5" t="s">
        <v>472</v>
      </c>
    </row>
    <row r="1178" spans="2:34" ht="22.95" customHeight="1" outlineLevel="3" x14ac:dyDescent="0.2">
      <c r="B1178" s="74" t="s">
        <v>4831</v>
      </c>
      <c r="C1178" s="74"/>
      <c r="D1178" s="74"/>
    </row>
    <row r="1179" spans="2:34" ht="21" customHeight="1" outlineLevel="4" x14ac:dyDescent="0.2">
      <c r="B1179" s="4">
        <v>896</v>
      </c>
      <c r="C1179" s="5" t="s">
        <v>4832</v>
      </c>
      <c r="D1179" s="5" t="s">
        <v>4833</v>
      </c>
      <c r="E1179" s="6" t="s">
        <v>4834</v>
      </c>
      <c r="F1179" s="10"/>
      <c r="G1179" s="11" t="s">
        <v>4835</v>
      </c>
      <c r="H1179" s="12">
        <v>20</v>
      </c>
      <c r="I1179" s="13" t="s">
        <v>41</v>
      </c>
      <c r="J1179" s="13"/>
      <c r="K1179" s="13"/>
      <c r="L1179" s="4">
        <v>2</v>
      </c>
      <c r="M1179" s="14">
        <f>397*(1-P3/100)</f>
        <v>397</v>
      </c>
      <c r="N1179" s="15"/>
      <c r="O1179" s="13">
        <f>M1179*N1179</f>
        <v>0</v>
      </c>
      <c r="P1179" s="22">
        <f>0.197*N1179</f>
        <v>0</v>
      </c>
      <c r="Q1179" s="23">
        <f>0.00046*N1179</f>
        <v>0</v>
      </c>
      <c r="R1179" s="24"/>
      <c r="S1179" s="25" t="s">
        <v>4836</v>
      </c>
      <c r="T1179" s="25" t="s">
        <v>43</v>
      </c>
      <c r="U1179" s="5"/>
      <c r="V1179" s="5" t="s">
        <v>4837</v>
      </c>
      <c r="W1179" s="5" t="s">
        <v>46</v>
      </c>
      <c r="X1179" s="5"/>
      <c r="Y1179" s="5"/>
      <c r="Z1179" s="5" t="str">
        <f>HYPERLINK("https://knigipp.ru/api/getInfo/image/f7b168f4-7fee-11ef-a265-00155d82e908")</f>
        <v>https://knigipp.ru/api/getInfo/image/f7b168f4-7fee-11ef-a265-00155d82e908</v>
      </c>
      <c r="AA1179" s="33">
        <v>64</v>
      </c>
      <c r="AB1179" s="5"/>
      <c r="AC1179" s="5" t="s">
        <v>96</v>
      </c>
      <c r="AD1179" s="5"/>
      <c r="AE1179" s="5" t="s">
        <v>49</v>
      </c>
      <c r="AF1179" s="5"/>
      <c r="AG1179" s="5"/>
      <c r="AH1179" s="5" t="s">
        <v>4838</v>
      </c>
    </row>
    <row r="1180" spans="2:34" ht="22.95" customHeight="1" outlineLevel="3" x14ac:dyDescent="0.2">
      <c r="B1180" s="74" t="s">
        <v>4839</v>
      </c>
      <c r="C1180" s="74"/>
      <c r="D1180" s="74"/>
    </row>
    <row r="1181" spans="2:34" ht="21" customHeight="1" outlineLevel="4" x14ac:dyDescent="0.2">
      <c r="B1181" s="4">
        <v>897</v>
      </c>
      <c r="C1181" s="5" t="s">
        <v>4840</v>
      </c>
      <c r="D1181" s="5" t="s">
        <v>4841</v>
      </c>
      <c r="E1181" s="6" t="s">
        <v>4842</v>
      </c>
      <c r="F1181" s="10"/>
      <c r="G1181" s="11" t="s">
        <v>4843</v>
      </c>
      <c r="H1181" s="12">
        <v>30</v>
      </c>
      <c r="I1181" s="13" t="s">
        <v>261</v>
      </c>
      <c r="J1181" s="13"/>
      <c r="K1181" s="13"/>
      <c r="L1181" s="4">
        <v>6</v>
      </c>
      <c r="M1181" s="14">
        <f>109*(1-P3/100)</f>
        <v>109</v>
      </c>
      <c r="N1181" s="15"/>
      <c r="O1181" s="13">
        <f>M1181*N1181</f>
        <v>0</v>
      </c>
      <c r="P1181" s="13">
        <v>0</v>
      </c>
      <c r="Q1181" s="13">
        <v>0</v>
      </c>
      <c r="R1181" s="24"/>
      <c r="S1181" s="25" t="s">
        <v>4844</v>
      </c>
      <c r="T1181" s="25" t="s">
        <v>43</v>
      </c>
      <c r="U1181" s="5"/>
      <c r="V1181" s="5"/>
      <c r="W1181" s="5" t="s">
        <v>46</v>
      </c>
      <c r="X1181" s="5"/>
      <c r="Y1181" s="5"/>
      <c r="Z1181" s="5" t="str">
        <f>HYPERLINK("https://knigipp.ru/api/getInfo/image/c75db877-e89b-11ec-a213-ac1f6b442185")</f>
        <v>https://knigipp.ru/api/getInfo/image/c75db877-e89b-11ec-a213-ac1f6b442185</v>
      </c>
      <c r="AA1181" s="33">
        <v>48</v>
      </c>
      <c r="AB1181" s="5"/>
      <c r="AC1181" s="5" t="s">
        <v>96</v>
      </c>
      <c r="AD1181" s="5"/>
      <c r="AE1181" s="5" t="s">
        <v>49</v>
      </c>
      <c r="AF1181" s="5"/>
      <c r="AG1181" s="5"/>
      <c r="AH1181" s="5" t="s">
        <v>4845</v>
      </c>
    </row>
    <row r="1182" spans="2:34" ht="22.95" customHeight="1" outlineLevel="3" x14ac:dyDescent="0.2">
      <c r="B1182" s="74" t="s">
        <v>4846</v>
      </c>
      <c r="C1182" s="74"/>
      <c r="D1182" s="74"/>
    </row>
    <row r="1183" spans="2:34" ht="21" customHeight="1" outlineLevel="4" x14ac:dyDescent="0.2">
      <c r="B1183" s="4">
        <v>898</v>
      </c>
      <c r="C1183" s="5" t="s">
        <v>4847</v>
      </c>
      <c r="D1183" s="5" t="s">
        <v>4848</v>
      </c>
      <c r="E1183" s="6" t="s">
        <v>4849</v>
      </c>
      <c r="F1183" s="10"/>
      <c r="G1183" s="11" t="s">
        <v>4850</v>
      </c>
      <c r="H1183" s="12">
        <v>20</v>
      </c>
      <c r="I1183" s="13" t="s">
        <v>261</v>
      </c>
      <c r="J1183" s="13"/>
      <c r="K1183" s="13"/>
      <c r="L1183" s="4">
        <v>1</v>
      </c>
      <c r="M1183" s="14">
        <f>649*(1-P3/100)</f>
        <v>649</v>
      </c>
      <c r="N1183" s="15"/>
      <c r="O1183" s="13">
        <f>M1183*N1183</f>
        <v>0</v>
      </c>
      <c r="P1183" s="22">
        <f>0.394*N1183</f>
        <v>0</v>
      </c>
      <c r="Q1183" s="23">
        <f>0.00084*N1183</f>
        <v>0</v>
      </c>
      <c r="R1183" s="24"/>
      <c r="S1183" s="25" t="s">
        <v>4851</v>
      </c>
      <c r="T1183" s="25" t="s">
        <v>43</v>
      </c>
      <c r="U1183" s="5"/>
      <c r="V1183" s="5"/>
      <c r="W1183" s="5" t="s">
        <v>46</v>
      </c>
      <c r="X1183" s="5"/>
      <c r="Y1183" s="5"/>
      <c r="Z1183" s="5" t="str">
        <f>HYPERLINK("https://knigipp.ru/api/getInfo/image/9757e7be-5344-11ec-a20f-ac1f6b442185")</f>
        <v>https://knigipp.ru/api/getInfo/image/9757e7be-5344-11ec-a20f-ac1f6b442185</v>
      </c>
      <c r="AA1183" s="33">
        <v>128</v>
      </c>
      <c r="AB1183" s="5"/>
      <c r="AC1183" s="5" t="s">
        <v>48</v>
      </c>
      <c r="AD1183" s="5"/>
      <c r="AE1183" s="5" t="s">
        <v>49</v>
      </c>
      <c r="AF1183" s="5"/>
      <c r="AG1183" s="5"/>
      <c r="AH1183" s="5" t="s">
        <v>4852</v>
      </c>
    </row>
    <row r="1184" spans="2:34" ht="22.95" customHeight="1" outlineLevel="3" x14ac:dyDescent="0.2">
      <c r="B1184" s="74" t="s">
        <v>4853</v>
      </c>
      <c r="C1184" s="74"/>
      <c r="D1184" s="74"/>
    </row>
    <row r="1185" spans="2:34" ht="21" customHeight="1" outlineLevel="4" x14ac:dyDescent="0.2">
      <c r="B1185" s="4">
        <v>899</v>
      </c>
      <c r="C1185" s="5" t="s">
        <v>4854</v>
      </c>
      <c r="D1185" s="5" t="s">
        <v>4855</v>
      </c>
      <c r="E1185" s="6" t="s">
        <v>4856</v>
      </c>
      <c r="F1185" s="10"/>
      <c r="G1185" s="11" t="s">
        <v>4857</v>
      </c>
      <c r="H1185" s="12">
        <v>30</v>
      </c>
      <c r="I1185" s="13" t="s">
        <v>371</v>
      </c>
      <c r="J1185" s="13"/>
      <c r="K1185" s="13"/>
      <c r="L1185" s="4">
        <v>7</v>
      </c>
      <c r="M1185" s="14">
        <f>99*(1-P3/100)</f>
        <v>99</v>
      </c>
      <c r="N1185" s="15"/>
      <c r="O1185" s="13">
        <f>M1185*N1185</f>
        <v>0</v>
      </c>
      <c r="P1185" s="36">
        <f>0.4*N1185</f>
        <v>0</v>
      </c>
      <c r="Q1185" s="23">
        <f>0.00007*N1185</f>
        <v>0</v>
      </c>
      <c r="R1185" s="24"/>
      <c r="S1185" s="25" t="s">
        <v>4858</v>
      </c>
      <c r="T1185" s="25" t="s">
        <v>43</v>
      </c>
      <c r="U1185" s="5"/>
      <c r="V1185" s="5" t="s">
        <v>4859</v>
      </c>
      <c r="W1185" s="5" t="s">
        <v>46</v>
      </c>
      <c r="X1185" s="5"/>
      <c r="Y1185" s="5"/>
      <c r="Z1185" s="5" t="str">
        <f>HYPERLINK("https://knigipp.ru/api/getInfo/image/48ba4014-046a-11ef-a25d-00155d82e908")</f>
        <v>https://knigipp.ru/api/getInfo/image/48ba4014-046a-11ef-a25d-00155d82e908</v>
      </c>
      <c r="AA1185" s="33">
        <v>24</v>
      </c>
      <c r="AB1185" s="5"/>
      <c r="AC1185" s="5" t="s">
        <v>96</v>
      </c>
      <c r="AD1185" s="5"/>
      <c r="AE1185" s="5" t="s">
        <v>49</v>
      </c>
      <c r="AF1185" s="5"/>
      <c r="AG1185" s="5"/>
      <c r="AH1185" s="5" t="s">
        <v>4860</v>
      </c>
    </row>
    <row r="1186" spans="2:34" ht="21" customHeight="1" outlineLevel="4" x14ac:dyDescent="0.2">
      <c r="B1186" s="4">
        <v>900</v>
      </c>
      <c r="C1186" s="5" t="s">
        <v>4861</v>
      </c>
      <c r="D1186" s="5" t="s">
        <v>4862</v>
      </c>
      <c r="E1186" s="6" t="s">
        <v>4863</v>
      </c>
      <c r="F1186" s="10"/>
      <c r="G1186" s="11" t="s">
        <v>4857</v>
      </c>
      <c r="H1186" s="12">
        <v>30</v>
      </c>
      <c r="I1186" s="13" t="s">
        <v>371</v>
      </c>
      <c r="J1186" s="13"/>
      <c r="K1186" s="13"/>
      <c r="L1186" s="4">
        <v>7</v>
      </c>
      <c r="M1186" s="14">
        <f>99*(1-P3/100)</f>
        <v>99</v>
      </c>
      <c r="N1186" s="15"/>
      <c r="O1186" s="13">
        <f>M1186*N1186</f>
        <v>0</v>
      </c>
      <c r="P1186" s="32">
        <f>0.04*N1186</f>
        <v>0</v>
      </c>
      <c r="Q1186" s="23">
        <f>0.00007*N1186</f>
        <v>0</v>
      </c>
      <c r="R1186" s="24"/>
      <c r="S1186" s="25" t="s">
        <v>4864</v>
      </c>
      <c r="T1186" s="25" t="s">
        <v>43</v>
      </c>
      <c r="U1186" s="5"/>
      <c r="V1186" s="5" t="s">
        <v>4865</v>
      </c>
      <c r="W1186" s="5" t="s">
        <v>46</v>
      </c>
      <c r="X1186" s="5"/>
      <c r="Y1186" s="5"/>
      <c r="Z1186" s="5" t="str">
        <f>HYPERLINK("https://knigipp.ru/api/getInfo/image/be68f48f-046a-11ef-a25d-00155d82e908")</f>
        <v>https://knigipp.ru/api/getInfo/image/be68f48f-046a-11ef-a25d-00155d82e908</v>
      </c>
      <c r="AA1186" s="33">
        <v>24</v>
      </c>
      <c r="AB1186" s="5"/>
      <c r="AC1186" s="5" t="s">
        <v>96</v>
      </c>
      <c r="AD1186" s="5"/>
      <c r="AE1186" s="5" t="s">
        <v>49</v>
      </c>
      <c r="AF1186" s="5"/>
      <c r="AG1186" s="5"/>
      <c r="AH1186" s="5" t="s">
        <v>4860</v>
      </c>
    </row>
    <row r="1187" spans="2:34" ht="21" customHeight="1" outlineLevel="4" x14ac:dyDescent="0.2">
      <c r="B1187" s="4">
        <v>901</v>
      </c>
      <c r="C1187" s="5" t="s">
        <v>4866</v>
      </c>
      <c r="D1187" s="5" t="s">
        <v>4867</v>
      </c>
      <c r="E1187" s="6" t="s">
        <v>4868</v>
      </c>
      <c r="F1187" s="10"/>
      <c r="G1187" s="11" t="s">
        <v>4857</v>
      </c>
      <c r="H1187" s="12">
        <v>30</v>
      </c>
      <c r="I1187" s="13" t="s">
        <v>371</v>
      </c>
      <c r="J1187" s="13"/>
      <c r="K1187" s="13"/>
      <c r="L1187" s="4">
        <v>7</v>
      </c>
      <c r="M1187" s="14">
        <f>99*(1-P3/100)</f>
        <v>99</v>
      </c>
      <c r="N1187" s="15"/>
      <c r="O1187" s="13">
        <f>M1187*N1187</f>
        <v>0</v>
      </c>
      <c r="P1187" s="32">
        <f>0.04*N1187</f>
        <v>0</v>
      </c>
      <c r="Q1187" s="23">
        <f>0.00007*N1187</f>
        <v>0</v>
      </c>
      <c r="R1187" s="24"/>
      <c r="S1187" s="25" t="s">
        <v>4869</v>
      </c>
      <c r="T1187" s="25" t="s">
        <v>43</v>
      </c>
      <c r="U1187" s="5"/>
      <c r="V1187" s="5" t="s">
        <v>4870</v>
      </c>
      <c r="W1187" s="5" t="s">
        <v>46</v>
      </c>
      <c r="X1187" s="5"/>
      <c r="Y1187" s="5"/>
      <c r="Z1187" s="5" t="str">
        <f>HYPERLINK("https://knigipp.ru/api/getInfo/image/e2a84446-046a-11ef-a25d-00155d82e908")</f>
        <v>https://knigipp.ru/api/getInfo/image/e2a84446-046a-11ef-a25d-00155d82e908</v>
      </c>
      <c r="AA1187" s="33">
        <v>24</v>
      </c>
      <c r="AB1187" s="5"/>
      <c r="AC1187" s="5" t="s">
        <v>96</v>
      </c>
      <c r="AD1187" s="5"/>
      <c r="AE1187" s="5" t="s">
        <v>49</v>
      </c>
      <c r="AF1187" s="5"/>
      <c r="AG1187" s="5"/>
      <c r="AH1187" s="5" t="s">
        <v>4860</v>
      </c>
    </row>
    <row r="1188" spans="2:34" ht="22.95" customHeight="1" outlineLevel="3" x14ac:dyDescent="0.2">
      <c r="B1188" s="74" t="s">
        <v>4871</v>
      </c>
      <c r="C1188" s="74"/>
      <c r="D1188" s="74"/>
    </row>
    <row r="1189" spans="2:34" ht="21" customHeight="1" outlineLevel="4" x14ac:dyDescent="0.2">
      <c r="B1189" s="4">
        <v>902</v>
      </c>
      <c r="C1189" s="5" t="s">
        <v>4872</v>
      </c>
      <c r="D1189" s="5" t="s">
        <v>4873</v>
      </c>
      <c r="E1189" s="6" t="s">
        <v>4874</v>
      </c>
      <c r="F1189" s="10"/>
      <c r="G1189" s="11" t="s">
        <v>4875</v>
      </c>
      <c r="H1189" s="12">
        <v>30</v>
      </c>
      <c r="I1189" s="13" t="s">
        <v>261</v>
      </c>
      <c r="J1189" s="13"/>
      <c r="K1189" s="13"/>
      <c r="L1189" s="4">
        <v>8</v>
      </c>
      <c r="M1189" s="14">
        <f>79*(1-P3/100)</f>
        <v>79</v>
      </c>
      <c r="N1189" s="15"/>
      <c r="O1189" s="13">
        <f>M1189*N1189</f>
        <v>0</v>
      </c>
      <c r="P1189" s="13">
        <v>0</v>
      </c>
      <c r="Q1189" s="13">
        <v>0</v>
      </c>
      <c r="R1189" s="24"/>
      <c r="S1189" s="25" t="s">
        <v>4876</v>
      </c>
      <c r="T1189" s="25" t="s">
        <v>43</v>
      </c>
      <c r="U1189" s="5" t="s">
        <v>4877</v>
      </c>
      <c r="V1189" s="5"/>
      <c r="W1189" s="5" t="s">
        <v>46</v>
      </c>
      <c r="X1189" s="5"/>
      <c r="Y1189" s="5"/>
      <c r="Z1189" s="5" t="str">
        <f>HYPERLINK("https://knigipp.ru/api/getInfo/image/9e447453-4a24-11ed-a216-ac1f6b442185")</f>
        <v>https://knigipp.ru/api/getInfo/image/9e447453-4a24-11ed-a216-ac1f6b442185</v>
      </c>
      <c r="AA1189" s="33">
        <v>64</v>
      </c>
      <c r="AB1189" s="5" t="s">
        <v>47</v>
      </c>
      <c r="AC1189" s="5" t="s">
        <v>48</v>
      </c>
      <c r="AD1189" s="5"/>
      <c r="AE1189" s="5" t="s">
        <v>49</v>
      </c>
      <c r="AF1189" s="5"/>
      <c r="AG1189" s="5"/>
      <c r="AH1189" s="5" t="s">
        <v>4878</v>
      </c>
    </row>
    <row r="1190" spans="2:34" ht="21" customHeight="1" outlineLevel="4" x14ac:dyDescent="0.2">
      <c r="B1190" s="4">
        <v>903</v>
      </c>
      <c r="C1190" s="5" t="s">
        <v>4879</v>
      </c>
      <c r="D1190" s="5" t="s">
        <v>4880</v>
      </c>
      <c r="E1190" s="6" t="s">
        <v>4881</v>
      </c>
      <c r="F1190" s="10"/>
      <c r="G1190" s="11" t="s">
        <v>4875</v>
      </c>
      <c r="H1190" s="12">
        <v>30</v>
      </c>
      <c r="I1190" s="13" t="s">
        <v>261</v>
      </c>
      <c r="J1190" s="13"/>
      <c r="K1190" s="13"/>
      <c r="L1190" s="4">
        <v>8</v>
      </c>
      <c r="M1190" s="14">
        <f>79*(1-P3/100)</f>
        <v>79</v>
      </c>
      <c r="N1190" s="15"/>
      <c r="O1190" s="13">
        <f>M1190*N1190</f>
        <v>0</v>
      </c>
      <c r="P1190" s="13">
        <v>0</v>
      </c>
      <c r="Q1190" s="13">
        <v>0</v>
      </c>
      <c r="R1190" s="24"/>
      <c r="S1190" s="25" t="s">
        <v>4882</v>
      </c>
      <c r="T1190" s="25" t="s">
        <v>43</v>
      </c>
      <c r="U1190" s="5" t="s">
        <v>4877</v>
      </c>
      <c r="V1190" s="5"/>
      <c r="W1190" s="5" t="s">
        <v>46</v>
      </c>
      <c r="X1190" s="5"/>
      <c r="Y1190" s="5"/>
      <c r="Z1190" s="5" t="str">
        <f>HYPERLINK("https://knigipp.ru/api/getInfo/image/07fb7ccb-4a25-11ed-a216-ac1f6b442185")</f>
        <v>https://knigipp.ru/api/getInfo/image/07fb7ccb-4a25-11ed-a216-ac1f6b442185</v>
      </c>
      <c r="AA1190" s="33">
        <v>64</v>
      </c>
      <c r="AB1190" s="5" t="s">
        <v>47</v>
      </c>
      <c r="AC1190" s="5" t="s">
        <v>48</v>
      </c>
      <c r="AD1190" s="5"/>
      <c r="AE1190" s="5" t="s">
        <v>49</v>
      </c>
      <c r="AF1190" s="5"/>
      <c r="AG1190" s="5"/>
      <c r="AH1190" s="5" t="s">
        <v>4878</v>
      </c>
    </row>
    <row r="1191" spans="2:34" ht="22.95" customHeight="1" outlineLevel="3" x14ac:dyDescent="0.2">
      <c r="B1191" s="74" t="s">
        <v>4883</v>
      </c>
      <c r="C1191" s="74"/>
      <c r="D1191" s="74"/>
    </row>
    <row r="1192" spans="2:34" ht="21" customHeight="1" outlineLevel="4" x14ac:dyDescent="0.2">
      <c r="B1192" s="4">
        <v>904</v>
      </c>
      <c r="C1192" s="5" t="s">
        <v>4884</v>
      </c>
      <c r="D1192" s="5" t="s">
        <v>4885</v>
      </c>
      <c r="E1192" s="6" t="s">
        <v>4886</v>
      </c>
      <c r="F1192" s="10"/>
      <c r="G1192" s="11" t="s">
        <v>4887</v>
      </c>
      <c r="H1192" s="12">
        <v>20</v>
      </c>
      <c r="I1192" s="13" t="s">
        <v>41</v>
      </c>
      <c r="J1192" s="13"/>
      <c r="K1192" s="13"/>
      <c r="L1192" s="4">
        <v>2</v>
      </c>
      <c r="M1192" s="14">
        <f>447*(1-P3/100)</f>
        <v>447</v>
      </c>
      <c r="N1192" s="15"/>
      <c r="O1192" s="13">
        <f>M1192*N1192</f>
        <v>0</v>
      </c>
      <c r="P1192" s="22">
        <f>0.184*N1192</f>
        <v>0</v>
      </c>
      <c r="Q1192" s="23">
        <f>0.00076*N1192</f>
        <v>0</v>
      </c>
      <c r="R1192" s="24"/>
      <c r="S1192" s="25" t="s">
        <v>4888</v>
      </c>
      <c r="T1192" s="25" t="s">
        <v>43</v>
      </c>
      <c r="U1192" s="5"/>
      <c r="V1192" s="5" t="s">
        <v>4889</v>
      </c>
      <c r="W1192" s="5" t="s">
        <v>46</v>
      </c>
      <c r="X1192" s="5"/>
      <c r="Y1192" s="5"/>
      <c r="Z1192" s="5" t="str">
        <f>HYPERLINK("https://knigipp.ru/api/getInfo/image/41bd0910-354b-11ef-a261-00155d82e908")</f>
        <v>https://knigipp.ru/api/getInfo/image/41bd0910-354b-11ef-a261-00155d82e908</v>
      </c>
      <c r="AA1192" s="33">
        <v>32</v>
      </c>
      <c r="AB1192" s="5" t="s">
        <v>47</v>
      </c>
      <c r="AC1192" s="5" t="s">
        <v>4890</v>
      </c>
      <c r="AD1192" s="5"/>
      <c r="AE1192" s="5" t="s">
        <v>49</v>
      </c>
      <c r="AF1192" s="5"/>
      <c r="AG1192" s="5"/>
      <c r="AH1192" s="5" t="s">
        <v>4891</v>
      </c>
    </row>
    <row r="1193" spans="2:34" ht="21" customHeight="1" outlineLevel="4" x14ac:dyDescent="0.2">
      <c r="B1193" s="4">
        <v>905</v>
      </c>
      <c r="C1193" s="5" t="s">
        <v>4892</v>
      </c>
      <c r="D1193" s="5" t="s">
        <v>4893</v>
      </c>
      <c r="E1193" s="6" t="s">
        <v>4894</v>
      </c>
      <c r="F1193" s="10"/>
      <c r="G1193" s="11" t="s">
        <v>4887</v>
      </c>
      <c r="H1193" s="12">
        <v>20</v>
      </c>
      <c r="I1193" s="13" t="s">
        <v>41</v>
      </c>
      <c r="J1193" s="13"/>
      <c r="K1193" s="13"/>
      <c r="L1193" s="4">
        <v>2</v>
      </c>
      <c r="M1193" s="14">
        <f>447*(1-P3/100)</f>
        <v>447</v>
      </c>
      <c r="N1193" s="15"/>
      <c r="O1193" s="13">
        <f>M1193*N1193</f>
        <v>0</v>
      </c>
      <c r="P1193" s="22">
        <f>0.177*N1193</f>
        <v>0</v>
      </c>
      <c r="Q1193" s="23">
        <f>0.00108*N1193</f>
        <v>0</v>
      </c>
      <c r="R1193" s="24"/>
      <c r="S1193" s="25" t="s">
        <v>4895</v>
      </c>
      <c r="T1193" s="25" t="s">
        <v>43</v>
      </c>
      <c r="U1193" s="5"/>
      <c r="V1193" s="5" t="s">
        <v>4896</v>
      </c>
      <c r="W1193" s="5" t="s">
        <v>46</v>
      </c>
      <c r="X1193" s="5"/>
      <c r="Y1193" s="5"/>
      <c r="Z1193" s="5" t="str">
        <f>HYPERLINK("https://knigipp.ru/api/getInfo/image/20383d5b-354b-11ef-a261-00155d82e908")</f>
        <v>https://knigipp.ru/api/getInfo/image/20383d5b-354b-11ef-a261-00155d82e908</v>
      </c>
      <c r="AA1193" s="33">
        <v>32</v>
      </c>
      <c r="AB1193" s="5" t="s">
        <v>47</v>
      </c>
      <c r="AC1193" s="5" t="s">
        <v>4890</v>
      </c>
      <c r="AD1193" s="5"/>
      <c r="AE1193" s="5" t="s">
        <v>49</v>
      </c>
      <c r="AF1193" s="5"/>
      <c r="AG1193" s="5"/>
      <c r="AH1193" s="5" t="s">
        <v>4891</v>
      </c>
    </row>
    <row r="1194" spans="2:34" ht="22.95" customHeight="1" outlineLevel="3" x14ac:dyDescent="0.2">
      <c r="B1194" s="74" t="s">
        <v>4897</v>
      </c>
      <c r="C1194" s="74"/>
      <c r="D1194" s="74"/>
    </row>
    <row r="1195" spans="2:34" ht="21" customHeight="1" outlineLevel="4" x14ac:dyDescent="0.2">
      <c r="B1195" s="4">
        <v>906</v>
      </c>
      <c r="C1195" s="5" t="s">
        <v>4898</v>
      </c>
      <c r="D1195" s="5" t="s">
        <v>4899</v>
      </c>
      <c r="E1195" s="6" t="s">
        <v>4900</v>
      </c>
      <c r="F1195" s="10"/>
      <c r="G1195" s="11" t="s">
        <v>4901</v>
      </c>
      <c r="H1195" s="12">
        <v>20</v>
      </c>
      <c r="I1195" s="13" t="s">
        <v>41</v>
      </c>
      <c r="J1195" s="13"/>
      <c r="K1195" s="13"/>
      <c r="L1195" s="4">
        <v>3</v>
      </c>
      <c r="M1195" s="14">
        <f>249*(1-P3/100)</f>
        <v>249</v>
      </c>
      <c r="N1195" s="15"/>
      <c r="O1195" s="13">
        <f>M1195*N1195</f>
        <v>0</v>
      </c>
      <c r="P1195" s="22">
        <f>0.283*N1195</f>
        <v>0</v>
      </c>
      <c r="Q1195" s="23">
        <f>0.00034*N1195</f>
        <v>0</v>
      </c>
      <c r="R1195" s="24"/>
      <c r="S1195" s="25" t="s">
        <v>4902</v>
      </c>
      <c r="T1195" s="25" t="s">
        <v>43</v>
      </c>
      <c r="U1195" s="5"/>
      <c r="V1195" s="5"/>
      <c r="W1195" s="5" t="s">
        <v>46</v>
      </c>
      <c r="X1195" s="5"/>
      <c r="Y1195" s="5"/>
      <c r="Z1195" s="5" t="str">
        <f>HYPERLINK("https://knigipp.ru/api/getInfo/image/9e58d5e1-4a21-11ed-a216-ac1f6b442185")</f>
        <v>https://knigipp.ru/api/getInfo/image/9e58d5e1-4a21-11ed-a216-ac1f6b442185</v>
      </c>
      <c r="AA1195" s="33">
        <v>48</v>
      </c>
      <c r="AB1195" s="5"/>
      <c r="AC1195" s="5" t="s">
        <v>48</v>
      </c>
      <c r="AD1195" s="5"/>
      <c r="AE1195" s="5" t="s">
        <v>49</v>
      </c>
      <c r="AF1195" s="5"/>
      <c r="AG1195" s="5"/>
      <c r="AH1195" s="5" t="s">
        <v>4903</v>
      </c>
    </row>
    <row r="1196" spans="2:34" ht="21" customHeight="1" outlineLevel="4" x14ac:dyDescent="0.2">
      <c r="B1196" s="4">
        <v>907</v>
      </c>
      <c r="C1196" s="5" t="s">
        <v>4904</v>
      </c>
      <c r="D1196" s="5" t="s">
        <v>4905</v>
      </c>
      <c r="E1196" s="6" t="s">
        <v>4906</v>
      </c>
      <c r="F1196" s="10"/>
      <c r="G1196" s="11" t="s">
        <v>4901</v>
      </c>
      <c r="H1196" s="12">
        <v>20</v>
      </c>
      <c r="I1196" s="13" t="s">
        <v>41</v>
      </c>
      <c r="J1196" s="13"/>
      <c r="K1196" s="13"/>
      <c r="L1196" s="4">
        <v>3</v>
      </c>
      <c r="M1196" s="14">
        <f>249*(1-P3/100)</f>
        <v>249</v>
      </c>
      <c r="N1196" s="15"/>
      <c r="O1196" s="13">
        <f>M1196*N1196</f>
        <v>0</v>
      </c>
      <c r="P1196" s="22">
        <f>0.283*N1196</f>
        <v>0</v>
      </c>
      <c r="Q1196" s="23">
        <f>0.00034*N1196</f>
        <v>0</v>
      </c>
      <c r="R1196" s="24"/>
      <c r="S1196" s="25" t="s">
        <v>4907</v>
      </c>
      <c r="T1196" s="25" t="s">
        <v>43</v>
      </c>
      <c r="U1196" s="5"/>
      <c r="V1196" s="5"/>
      <c r="W1196" s="5" t="s">
        <v>46</v>
      </c>
      <c r="X1196" s="5"/>
      <c r="Y1196" s="5"/>
      <c r="Z1196" s="5" t="str">
        <f>HYPERLINK("https://knigipp.ru/api/getInfo/image/f928cf6d-4a21-11ed-a216-ac1f6b442185")</f>
        <v>https://knigipp.ru/api/getInfo/image/f928cf6d-4a21-11ed-a216-ac1f6b442185</v>
      </c>
      <c r="AA1196" s="33">
        <v>48</v>
      </c>
      <c r="AB1196" s="5"/>
      <c r="AC1196" s="5" t="s">
        <v>48</v>
      </c>
      <c r="AD1196" s="5"/>
      <c r="AE1196" s="5" t="s">
        <v>49</v>
      </c>
      <c r="AF1196" s="5"/>
      <c r="AG1196" s="5"/>
      <c r="AH1196" s="5" t="s">
        <v>4903</v>
      </c>
    </row>
    <row r="1197" spans="2:34" ht="21" customHeight="1" outlineLevel="4" x14ac:dyDescent="0.2">
      <c r="B1197" s="4">
        <v>908</v>
      </c>
      <c r="C1197" s="5" t="s">
        <v>4908</v>
      </c>
      <c r="D1197" s="5" t="s">
        <v>4909</v>
      </c>
      <c r="E1197" s="6" t="s">
        <v>4910</v>
      </c>
      <c r="F1197" s="10"/>
      <c r="G1197" s="11" t="s">
        <v>4901</v>
      </c>
      <c r="H1197" s="12">
        <v>20</v>
      </c>
      <c r="I1197" s="13" t="s">
        <v>41</v>
      </c>
      <c r="J1197" s="13"/>
      <c r="K1197" s="13"/>
      <c r="L1197" s="4">
        <v>3</v>
      </c>
      <c r="M1197" s="14">
        <f>249*(1-P3/100)</f>
        <v>249</v>
      </c>
      <c r="N1197" s="15"/>
      <c r="O1197" s="13">
        <f>M1197*N1197</f>
        <v>0</v>
      </c>
      <c r="P1197" s="22">
        <f>0.283*N1197</f>
        <v>0</v>
      </c>
      <c r="Q1197" s="23">
        <f>0.00034*N1197</f>
        <v>0</v>
      </c>
      <c r="R1197" s="24"/>
      <c r="S1197" s="25" t="s">
        <v>4911</v>
      </c>
      <c r="T1197" s="25" t="s">
        <v>43</v>
      </c>
      <c r="U1197" s="5"/>
      <c r="V1197" s="5"/>
      <c r="W1197" s="5" t="s">
        <v>46</v>
      </c>
      <c r="X1197" s="5"/>
      <c r="Y1197" s="5"/>
      <c r="Z1197" s="5" t="str">
        <f>HYPERLINK("https://knigipp.ru/api/getInfo/image/4ef5f751-4a22-11ed-a216-ac1f6b442185")</f>
        <v>https://knigipp.ru/api/getInfo/image/4ef5f751-4a22-11ed-a216-ac1f6b442185</v>
      </c>
      <c r="AA1197" s="33">
        <v>48</v>
      </c>
      <c r="AB1197" s="5"/>
      <c r="AC1197" s="5" t="s">
        <v>48</v>
      </c>
      <c r="AD1197" s="5"/>
      <c r="AE1197" s="5" t="s">
        <v>49</v>
      </c>
      <c r="AF1197" s="5"/>
      <c r="AG1197" s="5"/>
      <c r="AH1197" s="5" t="s">
        <v>4903</v>
      </c>
    </row>
    <row r="1198" spans="2:34" ht="21" customHeight="1" outlineLevel="4" x14ac:dyDescent="0.2">
      <c r="B1198" s="4">
        <v>909</v>
      </c>
      <c r="C1198" s="5" t="s">
        <v>4912</v>
      </c>
      <c r="D1198" s="5" t="s">
        <v>4913</v>
      </c>
      <c r="E1198" s="6" t="s">
        <v>4914</v>
      </c>
      <c r="F1198" s="10"/>
      <c r="G1198" s="11" t="s">
        <v>4901</v>
      </c>
      <c r="H1198" s="12">
        <v>20</v>
      </c>
      <c r="I1198" s="13" t="s">
        <v>41</v>
      </c>
      <c r="J1198" s="13"/>
      <c r="K1198" s="13"/>
      <c r="L1198" s="4">
        <v>3</v>
      </c>
      <c r="M1198" s="14">
        <f>249*(1-P3/100)</f>
        <v>249</v>
      </c>
      <c r="N1198" s="15"/>
      <c r="O1198" s="13">
        <f>M1198*N1198</f>
        <v>0</v>
      </c>
      <c r="P1198" s="22">
        <f>0.283*N1198</f>
        <v>0</v>
      </c>
      <c r="Q1198" s="23">
        <f>0.00034*N1198</f>
        <v>0</v>
      </c>
      <c r="R1198" s="24"/>
      <c r="S1198" s="25" t="s">
        <v>4915</v>
      </c>
      <c r="T1198" s="25" t="s">
        <v>43</v>
      </c>
      <c r="U1198" s="5"/>
      <c r="V1198" s="5"/>
      <c r="W1198" s="5" t="s">
        <v>46</v>
      </c>
      <c r="X1198" s="5"/>
      <c r="Y1198" s="5"/>
      <c r="Z1198" s="5" t="str">
        <f>HYPERLINK("https://knigipp.ru/api/getInfo/image/94042190-4a22-11ed-a216-ac1f6b442185")</f>
        <v>https://knigipp.ru/api/getInfo/image/94042190-4a22-11ed-a216-ac1f6b442185</v>
      </c>
      <c r="AA1198" s="33">
        <v>48</v>
      </c>
      <c r="AB1198" s="5"/>
      <c r="AC1198" s="5" t="s">
        <v>48</v>
      </c>
      <c r="AD1198" s="5"/>
      <c r="AE1198" s="5" t="s">
        <v>49</v>
      </c>
      <c r="AF1198" s="5"/>
      <c r="AG1198" s="5"/>
      <c r="AH1198" s="5" t="s">
        <v>4903</v>
      </c>
    </row>
    <row r="1199" spans="2:34" ht="22.95" customHeight="1" outlineLevel="3" x14ac:dyDescent="0.2">
      <c r="B1199" s="74" t="s">
        <v>4916</v>
      </c>
      <c r="C1199" s="74"/>
      <c r="D1199" s="74"/>
    </row>
    <row r="1200" spans="2:34" ht="21" customHeight="1" outlineLevel="4" x14ac:dyDescent="0.2">
      <c r="B1200" s="4">
        <v>910</v>
      </c>
      <c r="C1200" s="5" t="s">
        <v>4917</v>
      </c>
      <c r="D1200" s="5" t="s">
        <v>4918</v>
      </c>
      <c r="E1200" s="6" t="s">
        <v>4919</v>
      </c>
      <c r="F1200" s="10"/>
      <c r="G1200" s="11" t="s">
        <v>4920</v>
      </c>
      <c r="H1200" s="12">
        <v>25</v>
      </c>
      <c r="I1200" s="13" t="s">
        <v>41</v>
      </c>
      <c r="J1200" s="13"/>
      <c r="K1200" s="13"/>
      <c r="L1200" s="4">
        <v>3</v>
      </c>
      <c r="M1200" s="14">
        <f>267*(1-P3/100)</f>
        <v>267</v>
      </c>
      <c r="N1200" s="15"/>
      <c r="O1200" s="13">
        <f>M1200*N1200</f>
        <v>0</v>
      </c>
      <c r="P1200" s="22">
        <f>0.148*N1200</f>
        <v>0</v>
      </c>
      <c r="Q1200" s="23">
        <f>0.00026*N1200</f>
        <v>0</v>
      </c>
      <c r="R1200" s="24"/>
      <c r="S1200" s="25" t="s">
        <v>4921</v>
      </c>
      <c r="T1200" s="25" t="s">
        <v>43</v>
      </c>
      <c r="U1200" s="5"/>
      <c r="V1200" s="5" t="s">
        <v>4922</v>
      </c>
      <c r="W1200" s="5" t="s">
        <v>46</v>
      </c>
      <c r="X1200" s="5" t="s">
        <v>362</v>
      </c>
      <c r="Y1200" s="5"/>
      <c r="Z1200" s="5" t="str">
        <f>HYPERLINK("https://knigipp.ru/api/getInfo/image/bebeae17-4a87-11e6-9636-5cf3fc4a2490")</f>
        <v>https://knigipp.ru/api/getInfo/image/bebeae17-4a87-11e6-9636-5cf3fc4a2490</v>
      </c>
      <c r="AA1200" s="33">
        <v>48</v>
      </c>
      <c r="AB1200" s="5"/>
      <c r="AC1200" s="5" t="s">
        <v>48</v>
      </c>
      <c r="AD1200" s="5"/>
      <c r="AE1200" s="5" t="s">
        <v>49</v>
      </c>
      <c r="AF1200" s="5"/>
      <c r="AG1200" s="5" t="s">
        <v>4923</v>
      </c>
      <c r="AH1200" s="5" t="s">
        <v>4924</v>
      </c>
    </row>
    <row r="1201" spans="2:34" ht="21" customHeight="1" outlineLevel="4" x14ac:dyDescent="0.2">
      <c r="B1201" s="4">
        <v>911</v>
      </c>
      <c r="C1201" s="5" t="s">
        <v>4925</v>
      </c>
      <c r="D1201" s="5" t="s">
        <v>4926</v>
      </c>
      <c r="E1201" s="6" t="s">
        <v>4927</v>
      </c>
      <c r="F1201" s="10"/>
      <c r="G1201" s="11" t="s">
        <v>4920</v>
      </c>
      <c r="H1201" s="12">
        <v>25</v>
      </c>
      <c r="I1201" s="13" t="s">
        <v>41</v>
      </c>
      <c r="J1201" s="13"/>
      <c r="K1201" s="13"/>
      <c r="L1201" s="4">
        <v>3</v>
      </c>
      <c r="M1201" s="14">
        <f>267*(1-P3/100)</f>
        <v>267</v>
      </c>
      <c r="N1201" s="15"/>
      <c r="O1201" s="13">
        <f>M1201*N1201</f>
        <v>0</v>
      </c>
      <c r="P1201" s="22">
        <f>0.142*N1201</f>
        <v>0</v>
      </c>
      <c r="Q1201" s="23">
        <f>0.00037*N1201</f>
        <v>0</v>
      </c>
      <c r="R1201" s="24"/>
      <c r="S1201" s="25" t="s">
        <v>4928</v>
      </c>
      <c r="T1201" s="25" t="s">
        <v>43</v>
      </c>
      <c r="U1201" s="5"/>
      <c r="V1201" s="5" t="s">
        <v>4929</v>
      </c>
      <c r="W1201" s="5" t="s">
        <v>46</v>
      </c>
      <c r="X1201" s="5" t="s">
        <v>362</v>
      </c>
      <c r="Y1201" s="5"/>
      <c r="Z1201" s="5" t="str">
        <f>HYPERLINK("https://knigipp.ru/api/getInfo/image/c9d41517-4a87-11e6-9636-5cf3fc4a2490")</f>
        <v>https://knigipp.ru/api/getInfo/image/c9d41517-4a87-11e6-9636-5cf3fc4a2490</v>
      </c>
      <c r="AA1201" s="33">
        <v>48</v>
      </c>
      <c r="AB1201" s="5"/>
      <c r="AC1201" s="5" t="s">
        <v>48</v>
      </c>
      <c r="AD1201" s="5"/>
      <c r="AE1201" s="5" t="s">
        <v>49</v>
      </c>
      <c r="AF1201" s="5"/>
      <c r="AG1201" s="5" t="s">
        <v>4923</v>
      </c>
      <c r="AH1201" s="5" t="s">
        <v>4924</v>
      </c>
    </row>
    <row r="1202" spans="2:34" ht="21" customHeight="1" outlineLevel="4" x14ac:dyDescent="0.2">
      <c r="B1202" s="4">
        <v>912</v>
      </c>
      <c r="C1202" s="5" t="s">
        <v>4930</v>
      </c>
      <c r="D1202" s="5" t="s">
        <v>4931</v>
      </c>
      <c r="E1202" s="6" t="s">
        <v>4932</v>
      </c>
      <c r="F1202" s="10"/>
      <c r="G1202" s="11" t="s">
        <v>4933</v>
      </c>
      <c r="H1202" s="12">
        <v>25</v>
      </c>
      <c r="I1202" s="13" t="s">
        <v>41</v>
      </c>
      <c r="J1202" s="13"/>
      <c r="K1202" s="13"/>
      <c r="L1202" s="4">
        <v>3</v>
      </c>
      <c r="M1202" s="14">
        <f>267*(1-P3/100)</f>
        <v>267</v>
      </c>
      <c r="N1202" s="15"/>
      <c r="O1202" s="13">
        <f>M1202*N1202</f>
        <v>0</v>
      </c>
      <c r="P1202" s="22">
        <f>0.106*N1202</f>
        <v>0</v>
      </c>
      <c r="Q1202" s="23">
        <f>0.00029*N1202</f>
        <v>0</v>
      </c>
      <c r="R1202" s="24"/>
      <c r="S1202" s="25" t="s">
        <v>4934</v>
      </c>
      <c r="T1202" s="25" t="s">
        <v>43</v>
      </c>
      <c r="U1202" s="5"/>
      <c r="V1202" s="5" t="s">
        <v>4935</v>
      </c>
      <c r="W1202" s="5" t="s">
        <v>46</v>
      </c>
      <c r="X1202" s="5"/>
      <c r="Y1202" s="5"/>
      <c r="Z1202" s="5" t="str">
        <f>HYPERLINK("https://knigipp.ru/api/getInfo/image/5edf3a7a-6037-11ed-a229-00155d82e902")</f>
        <v>https://knigipp.ru/api/getInfo/image/5edf3a7a-6037-11ed-a229-00155d82e902</v>
      </c>
      <c r="AA1202" s="33">
        <v>48</v>
      </c>
      <c r="AB1202" s="5" t="s">
        <v>47</v>
      </c>
      <c r="AC1202" s="5" t="s">
        <v>48</v>
      </c>
      <c r="AD1202" s="5"/>
      <c r="AE1202" s="5" t="s">
        <v>49</v>
      </c>
      <c r="AF1202" s="5"/>
      <c r="AG1202" s="5" t="s">
        <v>4923</v>
      </c>
      <c r="AH1202" s="5" t="s">
        <v>4924</v>
      </c>
    </row>
    <row r="1203" spans="2:34" ht="21" customHeight="1" outlineLevel="4" x14ac:dyDescent="0.2">
      <c r="B1203" s="4">
        <v>913</v>
      </c>
      <c r="C1203" s="5" t="s">
        <v>4936</v>
      </c>
      <c r="D1203" s="5" t="s">
        <v>4937</v>
      </c>
      <c r="E1203" s="6" t="s">
        <v>4938</v>
      </c>
      <c r="F1203" s="10"/>
      <c r="G1203" s="11" t="s">
        <v>4939</v>
      </c>
      <c r="H1203" s="12">
        <v>25</v>
      </c>
      <c r="I1203" s="13" t="s">
        <v>41</v>
      </c>
      <c r="J1203" s="13"/>
      <c r="K1203" s="13"/>
      <c r="L1203" s="4">
        <v>3</v>
      </c>
      <c r="M1203" s="14">
        <f>267*(1-P3/100)</f>
        <v>267</v>
      </c>
      <c r="N1203" s="15"/>
      <c r="O1203" s="13">
        <f>M1203*N1203</f>
        <v>0</v>
      </c>
      <c r="P1203" s="22">
        <f>0.143*N1203</f>
        <v>0</v>
      </c>
      <c r="Q1203" s="23">
        <f>0.00026*N1203</f>
        <v>0</v>
      </c>
      <c r="R1203" s="24"/>
      <c r="S1203" s="25" t="s">
        <v>4940</v>
      </c>
      <c r="T1203" s="25" t="s">
        <v>43</v>
      </c>
      <c r="U1203" s="5"/>
      <c r="V1203" s="5" t="s">
        <v>4941</v>
      </c>
      <c r="W1203" s="5" t="s">
        <v>46</v>
      </c>
      <c r="X1203" s="5"/>
      <c r="Y1203" s="5"/>
      <c r="Z1203" s="5" t="str">
        <f>HYPERLINK("https://knigipp.ru/api/getInfo/image/61aceff7-ae4c-11ef-a267-00155d82e908")</f>
        <v>https://knigipp.ru/api/getInfo/image/61aceff7-ae4c-11ef-a267-00155d82e908</v>
      </c>
      <c r="AA1203" s="33">
        <v>48</v>
      </c>
      <c r="AB1203" s="5"/>
      <c r="AC1203" s="5" t="s">
        <v>48</v>
      </c>
      <c r="AD1203" s="5"/>
      <c r="AE1203" s="5" t="s">
        <v>49</v>
      </c>
      <c r="AF1203" s="5"/>
      <c r="AG1203" s="5" t="s">
        <v>4923</v>
      </c>
      <c r="AH1203" s="5" t="s">
        <v>4924</v>
      </c>
    </row>
    <row r="1204" spans="2:34" ht="22.95" customHeight="1" outlineLevel="3" x14ac:dyDescent="0.2">
      <c r="B1204" s="74" t="s">
        <v>4942</v>
      </c>
      <c r="C1204" s="74"/>
      <c r="D1204" s="74"/>
    </row>
    <row r="1205" spans="2:34" ht="21" customHeight="1" outlineLevel="4" x14ac:dyDescent="0.2">
      <c r="B1205" s="4">
        <v>914</v>
      </c>
      <c r="C1205" s="5" t="s">
        <v>4943</v>
      </c>
      <c r="D1205" s="5" t="s">
        <v>4944</v>
      </c>
      <c r="E1205" s="6" t="s">
        <v>4945</v>
      </c>
      <c r="F1205" s="10"/>
      <c r="G1205" s="11" t="s">
        <v>4946</v>
      </c>
      <c r="H1205" s="12">
        <v>10</v>
      </c>
      <c r="I1205" s="13" t="s">
        <v>261</v>
      </c>
      <c r="J1205" s="13"/>
      <c r="K1205" s="13"/>
      <c r="L1205" s="4">
        <v>4</v>
      </c>
      <c r="M1205" s="14">
        <f>149*(1-P3/100)</f>
        <v>149</v>
      </c>
      <c r="N1205" s="15"/>
      <c r="O1205" s="13">
        <f>M1205*N1205</f>
        <v>0</v>
      </c>
      <c r="P1205" s="22">
        <f>0.159*N1205</f>
        <v>0</v>
      </c>
      <c r="Q1205" s="23">
        <f>0.00035*N1205</f>
        <v>0</v>
      </c>
      <c r="R1205" s="24"/>
      <c r="S1205" s="25" t="s">
        <v>4947</v>
      </c>
      <c r="T1205" s="25" t="s">
        <v>43</v>
      </c>
      <c r="U1205" s="5" t="s">
        <v>4877</v>
      </c>
      <c r="V1205" s="5" t="s">
        <v>4948</v>
      </c>
      <c r="W1205" s="5" t="s">
        <v>46</v>
      </c>
      <c r="X1205" s="5"/>
      <c r="Y1205" s="5"/>
      <c r="Z1205" s="5" t="str">
        <f>HYPERLINK("https://knigipp.ru/api/getInfo/image/10dd204d-c330-11ed-a230-00155d82e902")</f>
        <v>https://knigipp.ru/api/getInfo/image/10dd204d-c330-11ed-a230-00155d82e902</v>
      </c>
      <c r="AA1205" s="33">
        <v>80</v>
      </c>
      <c r="AB1205" s="5" t="s">
        <v>47</v>
      </c>
      <c r="AC1205" s="5" t="s">
        <v>48</v>
      </c>
      <c r="AD1205" s="5"/>
      <c r="AE1205" s="5" t="s">
        <v>49</v>
      </c>
      <c r="AF1205" s="5"/>
      <c r="AG1205" s="5"/>
      <c r="AH1205" s="5" t="s">
        <v>4949</v>
      </c>
    </row>
    <row r="1206" spans="2:34" ht="21" customHeight="1" outlineLevel="4" x14ac:dyDescent="0.2">
      <c r="B1206" s="4">
        <v>915</v>
      </c>
      <c r="C1206" s="5" t="s">
        <v>4950</v>
      </c>
      <c r="D1206" s="5" t="s">
        <v>4951</v>
      </c>
      <c r="E1206" s="6" t="s">
        <v>4952</v>
      </c>
      <c r="F1206" s="10"/>
      <c r="G1206" s="11" t="s">
        <v>4946</v>
      </c>
      <c r="H1206" s="12">
        <v>10</v>
      </c>
      <c r="I1206" s="13" t="s">
        <v>261</v>
      </c>
      <c r="J1206" s="13"/>
      <c r="K1206" s="13"/>
      <c r="L1206" s="4">
        <v>4</v>
      </c>
      <c r="M1206" s="14">
        <f>149*(1-P3/100)</f>
        <v>149</v>
      </c>
      <c r="N1206" s="15"/>
      <c r="O1206" s="13">
        <f>M1206*N1206</f>
        <v>0</v>
      </c>
      <c r="P1206" s="22">
        <f>0.159*N1206</f>
        <v>0</v>
      </c>
      <c r="Q1206" s="23">
        <f>0.00035*N1206</f>
        <v>0</v>
      </c>
      <c r="R1206" s="24"/>
      <c r="S1206" s="25" t="s">
        <v>4953</v>
      </c>
      <c r="T1206" s="25" t="s">
        <v>43</v>
      </c>
      <c r="U1206" s="5"/>
      <c r="V1206" s="5" t="s">
        <v>4954</v>
      </c>
      <c r="W1206" s="5" t="s">
        <v>46</v>
      </c>
      <c r="X1206" s="5"/>
      <c r="Y1206" s="5"/>
      <c r="Z1206" s="5" t="str">
        <f>HYPERLINK("https://knigipp.ru/api/getInfo/image/880bbe59-c330-11ed-a230-00155d82e902")</f>
        <v>https://knigipp.ru/api/getInfo/image/880bbe59-c330-11ed-a230-00155d82e902</v>
      </c>
      <c r="AA1206" s="33">
        <v>80</v>
      </c>
      <c r="AB1206" s="5" t="s">
        <v>47</v>
      </c>
      <c r="AC1206" s="5" t="s">
        <v>48</v>
      </c>
      <c r="AD1206" s="5"/>
      <c r="AE1206" s="5" t="s">
        <v>49</v>
      </c>
      <c r="AF1206" s="5"/>
      <c r="AG1206" s="5"/>
      <c r="AH1206" s="5" t="s">
        <v>4949</v>
      </c>
    </row>
    <row r="1207" spans="2:34" ht="22.95" customHeight="1" outlineLevel="3" x14ac:dyDescent="0.2">
      <c r="B1207" s="74" t="s">
        <v>4955</v>
      </c>
      <c r="C1207" s="74"/>
      <c r="D1207" s="74"/>
    </row>
    <row r="1208" spans="2:34" ht="21" customHeight="1" outlineLevel="4" x14ac:dyDescent="0.2">
      <c r="B1208" s="4">
        <v>916</v>
      </c>
      <c r="C1208" s="5" t="s">
        <v>4956</v>
      </c>
      <c r="D1208" s="5" t="s">
        <v>4957</v>
      </c>
      <c r="E1208" s="6" t="s">
        <v>4958</v>
      </c>
      <c r="F1208" s="10"/>
      <c r="G1208" s="11" t="s">
        <v>4959</v>
      </c>
      <c r="H1208" s="12">
        <v>50</v>
      </c>
      <c r="I1208" s="13" t="s">
        <v>261</v>
      </c>
      <c r="J1208" s="13"/>
      <c r="K1208" s="13"/>
      <c r="L1208" s="4">
        <v>3</v>
      </c>
      <c r="M1208" s="14">
        <f>217*(1-P3/100)</f>
        <v>217</v>
      </c>
      <c r="N1208" s="15"/>
      <c r="O1208" s="13">
        <f>M1208*N1208</f>
        <v>0</v>
      </c>
      <c r="P1208" s="22">
        <f>0.075*N1208</f>
        <v>0</v>
      </c>
      <c r="Q1208" s="23">
        <f>0.00027*N1208</f>
        <v>0</v>
      </c>
      <c r="R1208" s="24"/>
      <c r="S1208" s="25" t="s">
        <v>4960</v>
      </c>
      <c r="T1208" s="25" t="s">
        <v>43</v>
      </c>
      <c r="U1208" s="5"/>
      <c r="V1208" s="5" t="s">
        <v>4961</v>
      </c>
      <c r="W1208" s="5" t="s">
        <v>46</v>
      </c>
      <c r="X1208" s="5"/>
      <c r="Y1208" s="5"/>
      <c r="Z1208" s="5" t="str">
        <f>HYPERLINK("https://knigipp.ru/api/getInfo/image/86850d81-d6d1-11ee-a25a-00155d82e908")</f>
        <v>https://knigipp.ru/api/getInfo/image/86850d81-d6d1-11ee-a25a-00155d82e908</v>
      </c>
      <c r="AA1208" s="33">
        <v>24</v>
      </c>
      <c r="AB1208" s="5" t="s">
        <v>47</v>
      </c>
      <c r="AC1208" s="5" t="s">
        <v>96</v>
      </c>
      <c r="AD1208" s="5"/>
      <c r="AE1208" s="5" t="s">
        <v>49</v>
      </c>
      <c r="AF1208" s="5"/>
      <c r="AG1208" s="5"/>
      <c r="AH1208" s="5" t="s">
        <v>4962</v>
      </c>
    </row>
    <row r="1209" spans="2:34" ht="21" customHeight="1" outlineLevel="4" x14ac:dyDescent="0.2">
      <c r="B1209" s="4">
        <v>917</v>
      </c>
      <c r="C1209" s="5" t="s">
        <v>4963</v>
      </c>
      <c r="D1209" s="5" t="s">
        <v>4964</v>
      </c>
      <c r="E1209" s="6" t="s">
        <v>4965</v>
      </c>
      <c r="F1209" s="10"/>
      <c r="G1209" s="11" t="s">
        <v>4959</v>
      </c>
      <c r="H1209" s="12">
        <v>50</v>
      </c>
      <c r="I1209" s="13" t="s">
        <v>41</v>
      </c>
      <c r="J1209" s="13"/>
      <c r="K1209" s="13"/>
      <c r="L1209" s="4">
        <v>3</v>
      </c>
      <c r="M1209" s="14">
        <f>217*(1-P3/100)</f>
        <v>217</v>
      </c>
      <c r="N1209" s="15"/>
      <c r="O1209" s="13">
        <f>M1209*N1209</f>
        <v>0</v>
      </c>
      <c r="P1209" s="13">
        <v>0</v>
      </c>
      <c r="Q1209" s="13">
        <v>0</v>
      </c>
      <c r="R1209" s="24"/>
      <c r="S1209" s="25" t="s">
        <v>4966</v>
      </c>
      <c r="T1209" s="25" t="s">
        <v>43</v>
      </c>
      <c r="U1209" s="5"/>
      <c r="V1209" s="5" t="s">
        <v>4967</v>
      </c>
      <c r="W1209" s="5" t="s">
        <v>46</v>
      </c>
      <c r="X1209" s="5"/>
      <c r="Y1209" s="5"/>
      <c r="Z1209" s="5" t="str">
        <f>HYPERLINK("https://knigipp.ru/api/getInfo/image/afda2511-d6d1-11ee-a25a-00155d82e908")</f>
        <v>https://knigipp.ru/api/getInfo/image/afda2511-d6d1-11ee-a25a-00155d82e908</v>
      </c>
      <c r="AA1209" s="33">
        <v>24</v>
      </c>
      <c r="AB1209" s="5" t="s">
        <v>47</v>
      </c>
      <c r="AC1209" s="5" t="s">
        <v>96</v>
      </c>
      <c r="AD1209" s="5"/>
      <c r="AE1209" s="5" t="s">
        <v>49</v>
      </c>
      <c r="AF1209" s="5"/>
      <c r="AG1209" s="5"/>
      <c r="AH1209" s="5" t="s">
        <v>4962</v>
      </c>
    </row>
    <row r="1210" spans="2:34" ht="22.95" customHeight="1" outlineLevel="3" x14ac:dyDescent="0.2">
      <c r="B1210" s="74" t="s">
        <v>4968</v>
      </c>
      <c r="C1210" s="74"/>
      <c r="D1210" s="74"/>
    </row>
    <row r="1211" spans="2:34" ht="21" customHeight="1" outlineLevel="4" x14ac:dyDescent="0.2">
      <c r="B1211" s="4">
        <v>918</v>
      </c>
      <c r="C1211" s="5" t="s">
        <v>4969</v>
      </c>
      <c r="D1211" s="5" t="s">
        <v>4970</v>
      </c>
      <c r="E1211" s="6" t="s">
        <v>4971</v>
      </c>
      <c r="F1211" s="10"/>
      <c r="G1211" s="11" t="s">
        <v>4972</v>
      </c>
      <c r="H1211" s="12">
        <v>20</v>
      </c>
      <c r="I1211" s="13" t="s">
        <v>41</v>
      </c>
      <c r="J1211" s="13"/>
      <c r="K1211" s="13"/>
      <c r="L1211" s="4">
        <v>3</v>
      </c>
      <c r="M1211" s="14">
        <f>197*(1-P3/100)</f>
        <v>197</v>
      </c>
      <c r="N1211" s="15"/>
      <c r="O1211" s="13">
        <f>M1211*N1211</f>
        <v>0</v>
      </c>
      <c r="P1211" s="22">
        <f>0.202*N1211</f>
        <v>0</v>
      </c>
      <c r="Q1211" s="23">
        <f>0.00059*N1211</f>
        <v>0</v>
      </c>
      <c r="R1211" s="24"/>
      <c r="S1211" s="25" t="s">
        <v>4973</v>
      </c>
      <c r="T1211" s="25" t="s">
        <v>43</v>
      </c>
      <c r="U1211" s="5"/>
      <c r="V1211" s="5"/>
      <c r="W1211" s="5" t="s">
        <v>46</v>
      </c>
      <c r="X1211" s="5"/>
      <c r="Y1211" s="5"/>
      <c r="Z1211" s="5" t="str">
        <f>HYPERLINK("https://knigipp.ru/api/getInfo/image/48e95715-2aad-11ed-a216-ac1f6b442185")</f>
        <v>https://knigipp.ru/api/getInfo/image/48e95715-2aad-11ed-a216-ac1f6b442185</v>
      </c>
      <c r="AA1211" s="33">
        <v>80</v>
      </c>
      <c r="AB1211" s="5" t="s">
        <v>47</v>
      </c>
      <c r="AC1211" s="5" t="s">
        <v>48</v>
      </c>
      <c r="AD1211" s="5"/>
      <c r="AE1211" s="5" t="s">
        <v>49</v>
      </c>
      <c r="AF1211" s="5"/>
      <c r="AG1211" s="5"/>
      <c r="AH1211" s="5" t="s">
        <v>4974</v>
      </c>
    </row>
    <row r="1212" spans="2:34" ht="21" customHeight="1" outlineLevel="4" x14ac:dyDescent="0.2">
      <c r="B1212" s="4">
        <v>919</v>
      </c>
      <c r="C1212" s="5" t="s">
        <v>4975</v>
      </c>
      <c r="D1212" s="5" t="s">
        <v>4976</v>
      </c>
      <c r="E1212" s="6" t="s">
        <v>4977</v>
      </c>
      <c r="F1212" s="10"/>
      <c r="G1212" s="11" t="s">
        <v>4972</v>
      </c>
      <c r="H1212" s="12">
        <v>20</v>
      </c>
      <c r="I1212" s="13" t="s">
        <v>261</v>
      </c>
      <c r="J1212" s="13"/>
      <c r="K1212" s="13"/>
      <c r="L1212" s="4">
        <v>3</v>
      </c>
      <c r="M1212" s="14">
        <f>197*(1-P3/100)</f>
        <v>197</v>
      </c>
      <c r="N1212" s="15"/>
      <c r="O1212" s="13">
        <f>M1212*N1212</f>
        <v>0</v>
      </c>
      <c r="P1212" s="22">
        <f>0.203*N1212</f>
        <v>0</v>
      </c>
      <c r="Q1212" s="23">
        <f>0.00041*N1212</f>
        <v>0</v>
      </c>
      <c r="R1212" s="24"/>
      <c r="S1212" s="25" t="s">
        <v>4978</v>
      </c>
      <c r="T1212" s="25" t="s">
        <v>43</v>
      </c>
      <c r="U1212" s="5"/>
      <c r="V1212" s="5"/>
      <c r="W1212" s="5" t="s">
        <v>46</v>
      </c>
      <c r="X1212" s="5"/>
      <c r="Y1212" s="5"/>
      <c r="Z1212" s="5" t="str">
        <f>HYPERLINK("https://knigipp.ru/api/getInfo/image/ee73eaf6-2aac-11ed-a216-ac1f6b442185")</f>
        <v>https://knigipp.ru/api/getInfo/image/ee73eaf6-2aac-11ed-a216-ac1f6b442185</v>
      </c>
      <c r="AA1212" s="33">
        <v>80</v>
      </c>
      <c r="AB1212" s="5"/>
      <c r="AC1212" s="5" t="s">
        <v>48</v>
      </c>
      <c r="AD1212" s="5"/>
      <c r="AE1212" s="5" t="s">
        <v>49</v>
      </c>
      <c r="AF1212" s="5"/>
      <c r="AG1212" s="5"/>
      <c r="AH1212" s="5" t="s">
        <v>4974</v>
      </c>
    </row>
    <row r="1213" spans="2:34" ht="22.95" customHeight="1" outlineLevel="3" x14ac:dyDescent="0.2">
      <c r="B1213" s="74" t="s">
        <v>4979</v>
      </c>
      <c r="C1213" s="74"/>
      <c r="D1213" s="74"/>
    </row>
    <row r="1214" spans="2:34" ht="21" customHeight="1" outlineLevel="4" x14ac:dyDescent="0.2">
      <c r="B1214" s="4">
        <v>920</v>
      </c>
      <c r="C1214" s="5" t="s">
        <v>4980</v>
      </c>
      <c r="D1214" s="5" t="s">
        <v>4981</v>
      </c>
      <c r="E1214" s="6" t="s">
        <v>4982</v>
      </c>
      <c r="F1214" s="10"/>
      <c r="G1214" s="11" t="s">
        <v>4983</v>
      </c>
      <c r="H1214" s="12">
        <v>20</v>
      </c>
      <c r="I1214" s="13" t="s">
        <v>41</v>
      </c>
      <c r="J1214" s="13"/>
      <c r="K1214" s="13"/>
      <c r="L1214" s="4">
        <v>2</v>
      </c>
      <c r="M1214" s="14">
        <f>319*(1-P3/100)</f>
        <v>319</v>
      </c>
      <c r="N1214" s="15"/>
      <c r="O1214" s="13">
        <f t="shared" ref="O1214:O1221" si="41">M1214*N1214</f>
        <v>0</v>
      </c>
      <c r="P1214" s="22">
        <f>0.301*N1214</f>
        <v>0</v>
      </c>
      <c r="Q1214" s="23">
        <f>0.00133*N1214</f>
        <v>0</v>
      </c>
      <c r="R1214" s="24"/>
      <c r="S1214" s="25" t="s">
        <v>4984</v>
      </c>
      <c r="T1214" s="25" t="s">
        <v>43</v>
      </c>
      <c r="U1214" s="5"/>
      <c r="V1214" s="5"/>
      <c r="W1214" s="5" t="s">
        <v>4985</v>
      </c>
      <c r="X1214" s="5"/>
      <c r="Y1214" s="5"/>
      <c r="Z1214" s="5" t="str">
        <f>HYPERLINK("https://knigipp.ru/api/getInfo/image/93fca273-7931-11ec-a211-ac1f6b442185")</f>
        <v>https://knigipp.ru/api/getInfo/image/93fca273-7931-11ec-a211-ac1f6b442185</v>
      </c>
      <c r="AA1214" s="33">
        <v>96</v>
      </c>
      <c r="AB1214" s="5"/>
      <c r="AC1214" s="5" t="s">
        <v>48</v>
      </c>
      <c r="AD1214" s="5"/>
      <c r="AE1214" s="5" t="s">
        <v>49</v>
      </c>
      <c r="AF1214" s="5"/>
      <c r="AG1214" s="5"/>
      <c r="AH1214" s="5" t="s">
        <v>4986</v>
      </c>
    </row>
    <row r="1215" spans="2:34" ht="21" customHeight="1" outlineLevel="4" x14ac:dyDescent="0.2">
      <c r="B1215" s="4">
        <v>921</v>
      </c>
      <c r="C1215" s="5" t="s">
        <v>4987</v>
      </c>
      <c r="D1215" s="5" t="s">
        <v>4988</v>
      </c>
      <c r="E1215" s="6" t="s">
        <v>4989</v>
      </c>
      <c r="F1215" s="10"/>
      <c r="G1215" s="11" t="s">
        <v>4983</v>
      </c>
      <c r="H1215" s="12">
        <v>20</v>
      </c>
      <c r="I1215" s="13" t="s">
        <v>41</v>
      </c>
      <c r="J1215" s="13"/>
      <c r="K1215" s="13"/>
      <c r="L1215" s="4">
        <v>2</v>
      </c>
      <c r="M1215" s="14">
        <f>319*(1-P3/100)</f>
        <v>319</v>
      </c>
      <c r="N1215" s="15"/>
      <c r="O1215" s="13">
        <f t="shared" si="41"/>
        <v>0</v>
      </c>
      <c r="P1215" s="22">
        <f>0.299*N1215</f>
        <v>0</v>
      </c>
      <c r="Q1215" s="23">
        <f>0.00119*N1215</f>
        <v>0</v>
      </c>
      <c r="R1215" s="24"/>
      <c r="S1215" s="25" t="s">
        <v>4990</v>
      </c>
      <c r="T1215" s="25" t="s">
        <v>43</v>
      </c>
      <c r="U1215" s="5"/>
      <c r="V1215" s="5"/>
      <c r="W1215" s="5" t="s">
        <v>4985</v>
      </c>
      <c r="X1215" s="5"/>
      <c r="Y1215" s="5"/>
      <c r="Z1215" s="5" t="str">
        <f>HYPERLINK("https://knigipp.ru/api/getInfo/image/c22cffcd-7931-11ec-a211-ac1f6b442185")</f>
        <v>https://knigipp.ru/api/getInfo/image/c22cffcd-7931-11ec-a211-ac1f6b442185</v>
      </c>
      <c r="AA1215" s="33">
        <v>96</v>
      </c>
      <c r="AB1215" s="5"/>
      <c r="AC1215" s="5" t="s">
        <v>48</v>
      </c>
      <c r="AD1215" s="5"/>
      <c r="AE1215" s="5" t="s">
        <v>49</v>
      </c>
      <c r="AF1215" s="5"/>
      <c r="AG1215" s="5"/>
      <c r="AH1215" s="5" t="s">
        <v>4986</v>
      </c>
    </row>
    <row r="1216" spans="2:34" ht="21" customHeight="1" outlineLevel="4" x14ac:dyDescent="0.2">
      <c r="B1216" s="4">
        <v>922</v>
      </c>
      <c r="C1216" s="5" t="s">
        <v>4991</v>
      </c>
      <c r="D1216" s="5" t="s">
        <v>4992</v>
      </c>
      <c r="E1216" s="6" t="s">
        <v>4993</v>
      </c>
      <c r="F1216" s="10"/>
      <c r="G1216" s="11" t="s">
        <v>4983</v>
      </c>
      <c r="H1216" s="12">
        <v>20</v>
      </c>
      <c r="I1216" s="13" t="s">
        <v>41</v>
      </c>
      <c r="J1216" s="13"/>
      <c r="K1216" s="13"/>
      <c r="L1216" s="4">
        <v>2</v>
      </c>
      <c r="M1216" s="14">
        <f>319*(1-P3/100)</f>
        <v>319</v>
      </c>
      <c r="N1216" s="15"/>
      <c r="O1216" s="13">
        <f t="shared" si="41"/>
        <v>0</v>
      </c>
      <c r="P1216" s="22">
        <f>0.301*N1216</f>
        <v>0</v>
      </c>
      <c r="Q1216" s="30">
        <f>0.0013*N1216</f>
        <v>0</v>
      </c>
      <c r="R1216" s="24"/>
      <c r="S1216" s="25" t="s">
        <v>4994</v>
      </c>
      <c r="T1216" s="25" t="s">
        <v>43</v>
      </c>
      <c r="U1216" s="5"/>
      <c r="V1216" s="5"/>
      <c r="W1216" s="5" t="s">
        <v>4985</v>
      </c>
      <c r="X1216" s="5"/>
      <c r="Y1216" s="5"/>
      <c r="Z1216" s="5" t="str">
        <f>HYPERLINK("https://knigipp.ru/api/getInfo/image/ea249c4c-7931-11ec-a211-ac1f6b442185")</f>
        <v>https://knigipp.ru/api/getInfo/image/ea249c4c-7931-11ec-a211-ac1f6b442185</v>
      </c>
      <c r="AA1216" s="33">
        <v>96</v>
      </c>
      <c r="AB1216" s="5"/>
      <c r="AC1216" s="5" t="s">
        <v>48</v>
      </c>
      <c r="AD1216" s="5"/>
      <c r="AE1216" s="5" t="s">
        <v>49</v>
      </c>
      <c r="AF1216" s="5"/>
      <c r="AG1216" s="5"/>
      <c r="AH1216" s="5" t="s">
        <v>4986</v>
      </c>
    </row>
    <row r="1217" spans="2:34" ht="21" customHeight="1" outlineLevel="4" x14ac:dyDescent="0.2">
      <c r="B1217" s="4">
        <v>923</v>
      </c>
      <c r="C1217" s="5" t="s">
        <v>4995</v>
      </c>
      <c r="D1217" s="5" t="s">
        <v>4996</v>
      </c>
      <c r="E1217" s="6" t="s">
        <v>4997</v>
      </c>
      <c r="F1217" s="10"/>
      <c r="G1217" s="11" t="s">
        <v>4983</v>
      </c>
      <c r="H1217" s="12">
        <v>20</v>
      </c>
      <c r="I1217" s="13" t="s">
        <v>41</v>
      </c>
      <c r="J1217" s="13"/>
      <c r="K1217" s="13"/>
      <c r="L1217" s="4">
        <v>2</v>
      </c>
      <c r="M1217" s="14">
        <f>319*(1-P3/100)</f>
        <v>319</v>
      </c>
      <c r="N1217" s="15"/>
      <c r="O1217" s="13">
        <f t="shared" si="41"/>
        <v>0</v>
      </c>
      <c r="P1217" s="22">
        <f>0.301*N1217</f>
        <v>0</v>
      </c>
      <c r="Q1217" s="23">
        <f>0.00048*N1217</f>
        <v>0</v>
      </c>
      <c r="R1217" s="24"/>
      <c r="S1217" s="25" t="s">
        <v>4998</v>
      </c>
      <c r="T1217" s="25" t="s">
        <v>43</v>
      </c>
      <c r="U1217" s="5"/>
      <c r="V1217" s="5"/>
      <c r="W1217" s="5" t="s">
        <v>4985</v>
      </c>
      <c r="X1217" s="5"/>
      <c r="Y1217" s="5"/>
      <c r="Z1217" s="5" t="str">
        <f>HYPERLINK("https://knigipp.ru/api/getInfo/image/23b967d2-7932-11ec-a211-ac1f6b442185")</f>
        <v>https://knigipp.ru/api/getInfo/image/23b967d2-7932-11ec-a211-ac1f6b442185</v>
      </c>
      <c r="AA1217" s="33">
        <v>96</v>
      </c>
      <c r="AB1217" s="5"/>
      <c r="AC1217" s="5" t="s">
        <v>48</v>
      </c>
      <c r="AD1217" s="5"/>
      <c r="AE1217" s="5" t="s">
        <v>49</v>
      </c>
      <c r="AF1217" s="5"/>
      <c r="AG1217" s="5"/>
      <c r="AH1217" s="5" t="s">
        <v>4986</v>
      </c>
    </row>
    <row r="1218" spans="2:34" ht="21" customHeight="1" outlineLevel="4" x14ac:dyDescent="0.2">
      <c r="B1218" s="4">
        <v>924</v>
      </c>
      <c r="C1218" s="5" t="s">
        <v>4999</v>
      </c>
      <c r="D1218" s="5" t="s">
        <v>5000</v>
      </c>
      <c r="E1218" s="6" t="s">
        <v>5001</v>
      </c>
      <c r="F1218" s="10"/>
      <c r="G1218" s="11" t="s">
        <v>5002</v>
      </c>
      <c r="H1218" s="12">
        <v>20</v>
      </c>
      <c r="I1218" s="13" t="s">
        <v>41</v>
      </c>
      <c r="J1218" s="13"/>
      <c r="K1218" s="13"/>
      <c r="L1218" s="4">
        <v>2</v>
      </c>
      <c r="M1218" s="14">
        <f>319*(1-P3/100)</f>
        <v>319</v>
      </c>
      <c r="N1218" s="15"/>
      <c r="O1218" s="13">
        <f t="shared" si="41"/>
        <v>0</v>
      </c>
      <c r="P1218" s="22">
        <f>0.301*N1218</f>
        <v>0</v>
      </c>
      <c r="Q1218" s="23">
        <f>0.00122*N1218</f>
        <v>0</v>
      </c>
      <c r="R1218" s="24"/>
      <c r="S1218" s="25" t="s">
        <v>5003</v>
      </c>
      <c r="T1218" s="25" t="s">
        <v>43</v>
      </c>
      <c r="U1218" s="5"/>
      <c r="V1218" s="5"/>
      <c r="W1218" s="5" t="s">
        <v>4985</v>
      </c>
      <c r="X1218" s="5"/>
      <c r="Y1218" s="5"/>
      <c r="Z1218" s="5" t="str">
        <f>HYPERLINK("https://knigipp.ru/api/getInfo/image/07fa11e3-792a-11ec-a211-ac1f6b442185")</f>
        <v>https://knigipp.ru/api/getInfo/image/07fa11e3-792a-11ec-a211-ac1f6b442185</v>
      </c>
      <c r="AA1218" s="33">
        <v>96</v>
      </c>
      <c r="AB1218" s="5"/>
      <c r="AC1218" s="5" t="s">
        <v>48</v>
      </c>
      <c r="AD1218" s="5"/>
      <c r="AE1218" s="5" t="s">
        <v>49</v>
      </c>
      <c r="AF1218" s="5"/>
      <c r="AG1218" s="5"/>
      <c r="AH1218" s="5" t="s">
        <v>4986</v>
      </c>
    </row>
    <row r="1219" spans="2:34" ht="21" customHeight="1" outlineLevel="4" x14ac:dyDescent="0.2">
      <c r="B1219" s="4">
        <v>925</v>
      </c>
      <c r="C1219" s="5" t="s">
        <v>5004</v>
      </c>
      <c r="D1219" s="5" t="s">
        <v>5005</v>
      </c>
      <c r="E1219" s="6" t="s">
        <v>5006</v>
      </c>
      <c r="F1219" s="10"/>
      <c r="G1219" s="11" t="s">
        <v>5002</v>
      </c>
      <c r="H1219" s="12">
        <v>20</v>
      </c>
      <c r="I1219" s="13" t="s">
        <v>41</v>
      </c>
      <c r="J1219" s="13"/>
      <c r="K1219" s="13"/>
      <c r="L1219" s="4">
        <v>2</v>
      </c>
      <c r="M1219" s="14">
        <f>319*(1-P3/100)</f>
        <v>319</v>
      </c>
      <c r="N1219" s="15"/>
      <c r="O1219" s="13">
        <f t="shared" si="41"/>
        <v>0</v>
      </c>
      <c r="P1219" s="22">
        <f>0.301*N1219</f>
        <v>0</v>
      </c>
      <c r="Q1219" s="23">
        <f>0.00126*N1219</f>
        <v>0</v>
      </c>
      <c r="R1219" s="24"/>
      <c r="S1219" s="25" t="s">
        <v>5007</v>
      </c>
      <c r="T1219" s="25" t="s">
        <v>43</v>
      </c>
      <c r="U1219" s="5"/>
      <c r="V1219" s="5"/>
      <c r="W1219" s="5" t="s">
        <v>4985</v>
      </c>
      <c r="X1219" s="5"/>
      <c r="Y1219" s="5"/>
      <c r="Z1219" s="5" t="str">
        <f>HYPERLINK("https://knigipp.ru/api/getInfo/image/378db7e6-792a-11ec-a211-ac1f6b442185")</f>
        <v>https://knigipp.ru/api/getInfo/image/378db7e6-792a-11ec-a211-ac1f6b442185</v>
      </c>
      <c r="AA1219" s="33">
        <v>96</v>
      </c>
      <c r="AB1219" s="5"/>
      <c r="AC1219" s="5" t="s">
        <v>48</v>
      </c>
      <c r="AD1219" s="5"/>
      <c r="AE1219" s="5" t="s">
        <v>49</v>
      </c>
      <c r="AF1219" s="5"/>
      <c r="AG1219" s="5"/>
      <c r="AH1219" s="5" t="s">
        <v>4986</v>
      </c>
    </row>
    <row r="1220" spans="2:34" ht="21" customHeight="1" outlineLevel="4" x14ac:dyDescent="0.2">
      <c r="B1220" s="4">
        <v>926</v>
      </c>
      <c r="C1220" s="5" t="s">
        <v>5008</v>
      </c>
      <c r="D1220" s="5" t="s">
        <v>5009</v>
      </c>
      <c r="E1220" s="6" t="s">
        <v>5010</v>
      </c>
      <c r="F1220" s="10"/>
      <c r="G1220" s="11" t="s">
        <v>5002</v>
      </c>
      <c r="H1220" s="12">
        <v>20</v>
      </c>
      <c r="I1220" s="13" t="s">
        <v>41</v>
      </c>
      <c r="J1220" s="13"/>
      <c r="K1220" s="13"/>
      <c r="L1220" s="4">
        <v>2</v>
      </c>
      <c r="M1220" s="14">
        <f>319*(1-P3/100)</f>
        <v>319</v>
      </c>
      <c r="N1220" s="15"/>
      <c r="O1220" s="13">
        <f t="shared" si="41"/>
        <v>0</v>
      </c>
      <c r="P1220" s="36">
        <f>0.3*N1220</f>
        <v>0</v>
      </c>
      <c r="Q1220" s="23">
        <f>0.00054*N1220</f>
        <v>0</v>
      </c>
      <c r="R1220" s="24"/>
      <c r="S1220" s="25" t="s">
        <v>5011</v>
      </c>
      <c r="T1220" s="25" t="s">
        <v>43</v>
      </c>
      <c r="U1220" s="5"/>
      <c r="V1220" s="5"/>
      <c r="W1220" s="5" t="s">
        <v>4985</v>
      </c>
      <c r="X1220" s="5"/>
      <c r="Y1220" s="5"/>
      <c r="Z1220" s="5" t="str">
        <f>HYPERLINK("https://knigipp.ru/api/getInfo/image/666c2622-792a-11ec-a211-ac1f6b442185")</f>
        <v>https://knigipp.ru/api/getInfo/image/666c2622-792a-11ec-a211-ac1f6b442185</v>
      </c>
      <c r="AA1220" s="33">
        <v>96</v>
      </c>
      <c r="AB1220" s="5"/>
      <c r="AC1220" s="5" t="s">
        <v>48</v>
      </c>
      <c r="AD1220" s="5"/>
      <c r="AE1220" s="5" t="s">
        <v>49</v>
      </c>
      <c r="AF1220" s="5"/>
      <c r="AG1220" s="5"/>
      <c r="AH1220" s="5" t="s">
        <v>4986</v>
      </c>
    </row>
    <row r="1221" spans="2:34" ht="21" customHeight="1" outlineLevel="4" x14ac:dyDescent="0.2">
      <c r="B1221" s="4">
        <v>927</v>
      </c>
      <c r="C1221" s="5" t="s">
        <v>5012</v>
      </c>
      <c r="D1221" s="5" t="s">
        <v>5013</v>
      </c>
      <c r="E1221" s="6" t="s">
        <v>5014</v>
      </c>
      <c r="F1221" s="10"/>
      <c r="G1221" s="11" t="s">
        <v>5002</v>
      </c>
      <c r="H1221" s="12">
        <v>20</v>
      </c>
      <c r="I1221" s="13" t="s">
        <v>41</v>
      </c>
      <c r="J1221" s="13"/>
      <c r="K1221" s="13"/>
      <c r="L1221" s="4">
        <v>2</v>
      </c>
      <c r="M1221" s="14">
        <f>319*(1-P3/100)</f>
        <v>319</v>
      </c>
      <c r="N1221" s="15"/>
      <c r="O1221" s="13">
        <f t="shared" si="41"/>
        <v>0</v>
      </c>
      <c r="P1221" s="22">
        <f>0.301*N1221</f>
        <v>0</v>
      </c>
      <c r="Q1221" s="23">
        <f>0.00054*N1221</f>
        <v>0</v>
      </c>
      <c r="R1221" s="24"/>
      <c r="S1221" s="25" t="s">
        <v>5015</v>
      </c>
      <c r="T1221" s="25" t="s">
        <v>43</v>
      </c>
      <c r="U1221" s="5"/>
      <c r="V1221" s="5"/>
      <c r="W1221" s="5" t="s">
        <v>4985</v>
      </c>
      <c r="X1221" s="5"/>
      <c r="Y1221" s="5"/>
      <c r="Z1221" s="5" t="str">
        <f>HYPERLINK("https://knigipp.ru/api/getInfo/image/ac390986-792a-11ec-a211-ac1f6b442185")</f>
        <v>https://knigipp.ru/api/getInfo/image/ac390986-792a-11ec-a211-ac1f6b442185</v>
      </c>
      <c r="AA1221" s="33">
        <v>96</v>
      </c>
      <c r="AB1221" s="5"/>
      <c r="AC1221" s="5" t="s">
        <v>48</v>
      </c>
      <c r="AD1221" s="5"/>
      <c r="AE1221" s="5" t="s">
        <v>49</v>
      </c>
      <c r="AF1221" s="5"/>
      <c r="AG1221" s="5"/>
      <c r="AH1221" s="5" t="s">
        <v>4986</v>
      </c>
    </row>
    <row r="1222" spans="2:34" ht="22.95" customHeight="1" outlineLevel="3" x14ac:dyDescent="0.2">
      <c r="B1222" s="74" t="s">
        <v>5016</v>
      </c>
      <c r="C1222" s="74"/>
      <c r="D1222" s="74"/>
    </row>
    <row r="1223" spans="2:34" ht="21" customHeight="1" outlineLevel="4" x14ac:dyDescent="0.2">
      <c r="B1223" s="4">
        <v>928</v>
      </c>
      <c r="C1223" s="5" t="s">
        <v>5017</v>
      </c>
      <c r="D1223" s="5" t="s">
        <v>5018</v>
      </c>
      <c r="E1223" s="6" t="s">
        <v>5019</v>
      </c>
      <c r="F1223" s="10"/>
      <c r="G1223" s="11" t="s">
        <v>5020</v>
      </c>
      <c r="H1223" s="12">
        <v>50</v>
      </c>
      <c r="I1223" s="13" t="s">
        <v>41</v>
      </c>
      <c r="J1223" s="13"/>
      <c r="K1223" s="13"/>
      <c r="L1223" s="4">
        <v>5</v>
      </c>
      <c r="M1223" s="14">
        <f>117*(1-P3/100)</f>
        <v>117</v>
      </c>
      <c r="N1223" s="15"/>
      <c r="O1223" s="13">
        <f>M1223*N1223</f>
        <v>0</v>
      </c>
      <c r="P1223" s="22">
        <f>0.065*N1223</f>
        <v>0</v>
      </c>
      <c r="Q1223" s="23">
        <f>0.00022*N1223</f>
        <v>0</v>
      </c>
      <c r="R1223" s="24"/>
      <c r="S1223" s="25" t="s">
        <v>5021</v>
      </c>
      <c r="T1223" s="25" t="s">
        <v>43</v>
      </c>
      <c r="U1223" s="5"/>
      <c r="V1223" s="5" t="s">
        <v>5022</v>
      </c>
      <c r="W1223" s="5" t="s">
        <v>46</v>
      </c>
      <c r="X1223" s="5"/>
      <c r="Y1223" s="5"/>
      <c r="Z1223" s="5" t="str">
        <f>HYPERLINK("https://knigipp.ru/api/getInfo/image/e3cdea09-354c-11ef-a261-00155d82e908")</f>
        <v>https://knigipp.ru/api/getInfo/image/e3cdea09-354c-11ef-a261-00155d82e908</v>
      </c>
      <c r="AA1223" s="33">
        <v>16</v>
      </c>
      <c r="AB1223" s="5" t="s">
        <v>47</v>
      </c>
      <c r="AC1223" s="5" t="s">
        <v>96</v>
      </c>
      <c r="AD1223" s="5"/>
      <c r="AE1223" s="5" t="s">
        <v>49</v>
      </c>
      <c r="AF1223" s="5"/>
      <c r="AG1223" s="5"/>
      <c r="AH1223" s="5" t="s">
        <v>5023</v>
      </c>
    </row>
    <row r="1224" spans="2:34" ht="21" customHeight="1" outlineLevel="4" x14ac:dyDescent="0.2">
      <c r="B1224" s="4">
        <v>929</v>
      </c>
      <c r="C1224" s="5" t="s">
        <v>5024</v>
      </c>
      <c r="D1224" s="5" t="s">
        <v>5025</v>
      </c>
      <c r="E1224" s="6" t="s">
        <v>5026</v>
      </c>
      <c r="F1224" s="10"/>
      <c r="G1224" s="11" t="s">
        <v>5020</v>
      </c>
      <c r="H1224" s="12">
        <v>50</v>
      </c>
      <c r="I1224" s="13" t="s">
        <v>41</v>
      </c>
      <c r="J1224" s="13"/>
      <c r="K1224" s="13"/>
      <c r="L1224" s="4">
        <v>5</v>
      </c>
      <c r="M1224" s="14">
        <f>117*(1-P3/100)</f>
        <v>117</v>
      </c>
      <c r="N1224" s="15"/>
      <c r="O1224" s="13">
        <f>M1224*N1224</f>
        <v>0</v>
      </c>
      <c r="P1224" s="22">
        <f>0.059*N1224</f>
        <v>0</v>
      </c>
      <c r="Q1224" s="23">
        <f>0.00011*N1224</f>
        <v>0</v>
      </c>
      <c r="R1224" s="24"/>
      <c r="S1224" s="25" t="s">
        <v>5027</v>
      </c>
      <c r="T1224" s="25" t="s">
        <v>43</v>
      </c>
      <c r="U1224" s="5"/>
      <c r="V1224" s="5" t="s">
        <v>5028</v>
      </c>
      <c r="W1224" s="5" t="s">
        <v>46</v>
      </c>
      <c r="X1224" s="5"/>
      <c r="Y1224" s="5"/>
      <c r="Z1224" s="5" t="str">
        <f>HYPERLINK("https://knigipp.ru/api/getInfo/image/bdf212c8-354c-11ef-a261-00155d82e908")</f>
        <v>https://knigipp.ru/api/getInfo/image/bdf212c8-354c-11ef-a261-00155d82e908</v>
      </c>
      <c r="AA1224" s="33">
        <v>16</v>
      </c>
      <c r="AB1224" s="5" t="s">
        <v>47</v>
      </c>
      <c r="AC1224" s="5" t="s">
        <v>96</v>
      </c>
      <c r="AD1224" s="5"/>
      <c r="AE1224" s="5" t="s">
        <v>49</v>
      </c>
      <c r="AF1224" s="5"/>
      <c r="AG1224" s="5"/>
      <c r="AH1224" s="5" t="s">
        <v>5023</v>
      </c>
    </row>
    <row r="1225" spans="2:34" ht="21" customHeight="1" outlineLevel="4" x14ac:dyDescent="0.2">
      <c r="B1225" s="4">
        <v>930</v>
      </c>
      <c r="C1225" s="5" t="s">
        <v>5029</v>
      </c>
      <c r="D1225" s="5" t="s">
        <v>5030</v>
      </c>
      <c r="E1225" s="6" t="s">
        <v>5031</v>
      </c>
      <c r="F1225" s="10"/>
      <c r="G1225" s="11" t="s">
        <v>5020</v>
      </c>
      <c r="H1225" s="12">
        <v>50</v>
      </c>
      <c r="I1225" s="13" t="s">
        <v>41</v>
      </c>
      <c r="J1225" s="13"/>
      <c r="K1225" s="13"/>
      <c r="L1225" s="4">
        <v>5</v>
      </c>
      <c r="M1225" s="14">
        <f>117*(1-P3/100)</f>
        <v>117</v>
      </c>
      <c r="N1225" s="15"/>
      <c r="O1225" s="13">
        <f>M1225*N1225</f>
        <v>0</v>
      </c>
      <c r="P1225" s="22">
        <f>0.059*N1225</f>
        <v>0</v>
      </c>
      <c r="Q1225" s="23">
        <f>0.00011*N1225</f>
        <v>0</v>
      </c>
      <c r="R1225" s="24"/>
      <c r="S1225" s="25" t="s">
        <v>5032</v>
      </c>
      <c r="T1225" s="25" t="s">
        <v>43</v>
      </c>
      <c r="U1225" s="5"/>
      <c r="V1225" s="5" t="s">
        <v>5033</v>
      </c>
      <c r="W1225" s="5" t="s">
        <v>46</v>
      </c>
      <c r="X1225" s="5"/>
      <c r="Y1225" s="5"/>
      <c r="Z1225" s="5" t="str">
        <f>HYPERLINK("https://knigipp.ru/api/getInfo/image/1e270764-354d-11ef-a261-00155d82e908")</f>
        <v>https://knigipp.ru/api/getInfo/image/1e270764-354d-11ef-a261-00155d82e908</v>
      </c>
      <c r="AA1225" s="33">
        <v>16</v>
      </c>
      <c r="AB1225" s="5" t="s">
        <v>47</v>
      </c>
      <c r="AC1225" s="5" t="s">
        <v>96</v>
      </c>
      <c r="AD1225" s="5"/>
      <c r="AE1225" s="5" t="s">
        <v>49</v>
      </c>
      <c r="AF1225" s="5"/>
      <c r="AG1225" s="5"/>
      <c r="AH1225" s="5" t="s">
        <v>5023</v>
      </c>
    </row>
    <row r="1226" spans="2:34" ht="21" customHeight="1" outlineLevel="4" x14ac:dyDescent="0.2">
      <c r="B1226" s="4">
        <v>931</v>
      </c>
      <c r="C1226" s="5" t="s">
        <v>5034</v>
      </c>
      <c r="D1226" s="5" t="s">
        <v>5035</v>
      </c>
      <c r="E1226" s="6" t="s">
        <v>5036</v>
      </c>
      <c r="F1226" s="10"/>
      <c r="G1226" s="11" t="s">
        <v>5020</v>
      </c>
      <c r="H1226" s="12">
        <v>50</v>
      </c>
      <c r="I1226" s="13" t="s">
        <v>41</v>
      </c>
      <c r="J1226" s="13"/>
      <c r="K1226" s="13"/>
      <c r="L1226" s="4">
        <v>5</v>
      </c>
      <c r="M1226" s="14">
        <f>117*(1-P3/100)</f>
        <v>117</v>
      </c>
      <c r="N1226" s="15"/>
      <c r="O1226" s="13">
        <f>M1226*N1226</f>
        <v>0</v>
      </c>
      <c r="P1226" s="22">
        <f>0.065*N1226</f>
        <v>0</v>
      </c>
      <c r="Q1226" s="23">
        <f>0.00022*N1226</f>
        <v>0</v>
      </c>
      <c r="R1226" s="24"/>
      <c r="S1226" s="25" t="s">
        <v>5037</v>
      </c>
      <c r="T1226" s="25" t="s">
        <v>43</v>
      </c>
      <c r="U1226" s="5"/>
      <c r="V1226" s="5" t="s">
        <v>5038</v>
      </c>
      <c r="W1226" s="5" t="s">
        <v>46</v>
      </c>
      <c r="X1226" s="5"/>
      <c r="Y1226" s="5"/>
      <c r="Z1226" s="5" t="str">
        <f>HYPERLINK("https://knigipp.ru/api/getInfo/image/01eedaaf-354d-11ef-a261-00155d82e908")</f>
        <v>https://knigipp.ru/api/getInfo/image/01eedaaf-354d-11ef-a261-00155d82e908</v>
      </c>
      <c r="AA1226" s="33">
        <v>16</v>
      </c>
      <c r="AB1226" s="5" t="s">
        <v>47</v>
      </c>
      <c r="AC1226" s="5" t="s">
        <v>96</v>
      </c>
      <c r="AD1226" s="5"/>
      <c r="AE1226" s="5" t="s">
        <v>49</v>
      </c>
      <c r="AF1226" s="5"/>
      <c r="AG1226" s="5"/>
      <c r="AH1226" s="5" t="s">
        <v>5023</v>
      </c>
    </row>
    <row r="1227" spans="2:34" ht="22.95" customHeight="1" outlineLevel="3" x14ac:dyDescent="0.2">
      <c r="B1227" s="74" t="s">
        <v>5039</v>
      </c>
      <c r="C1227" s="74"/>
      <c r="D1227" s="74"/>
    </row>
    <row r="1228" spans="2:34" ht="21" customHeight="1" outlineLevel="4" x14ac:dyDescent="0.2">
      <c r="B1228" s="4">
        <v>932</v>
      </c>
      <c r="C1228" s="5" t="s">
        <v>5040</v>
      </c>
      <c r="D1228" s="5" t="s">
        <v>5041</v>
      </c>
      <c r="E1228" s="6" t="s">
        <v>5042</v>
      </c>
      <c r="F1228" s="10"/>
      <c r="G1228" s="11" t="s">
        <v>5043</v>
      </c>
      <c r="H1228" s="12">
        <v>50</v>
      </c>
      <c r="I1228" s="13" t="s">
        <v>41</v>
      </c>
      <c r="J1228" s="13"/>
      <c r="K1228" s="13"/>
      <c r="L1228" s="4">
        <v>12</v>
      </c>
      <c r="M1228" s="14">
        <f>57*(1-P3/100)</f>
        <v>57</v>
      </c>
      <c r="N1228" s="15"/>
      <c r="O1228" s="13">
        <f>M1228*N1228</f>
        <v>0</v>
      </c>
      <c r="P1228" s="22">
        <f>0.038*N1228</f>
        <v>0</v>
      </c>
      <c r="Q1228" s="23">
        <f>0.00008*N1228</f>
        <v>0</v>
      </c>
      <c r="R1228" s="24"/>
      <c r="S1228" s="25" t="s">
        <v>5044</v>
      </c>
      <c r="T1228" s="25" t="s">
        <v>43</v>
      </c>
      <c r="U1228" s="5"/>
      <c r="V1228" s="5" t="s">
        <v>5045</v>
      </c>
      <c r="W1228" s="5" t="s">
        <v>46</v>
      </c>
      <c r="X1228" s="5"/>
      <c r="Y1228" s="5"/>
      <c r="Z1228" s="5" t="str">
        <f>HYPERLINK("https://knigipp.ru/api/getInfo/image/3617607f-edda-11ee-a25b-00155d82e908")</f>
        <v>https://knigipp.ru/api/getInfo/image/3617607f-edda-11ee-a25b-00155d82e908</v>
      </c>
      <c r="AA1228" s="33">
        <v>16</v>
      </c>
      <c r="AB1228" s="5"/>
      <c r="AC1228" s="5" t="s">
        <v>96</v>
      </c>
      <c r="AD1228" s="5"/>
      <c r="AE1228" s="5" t="s">
        <v>49</v>
      </c>
      <c r="AF1228" s="5"/>
      <c r="AG1228" s="5"/>
      <c r="AH1228" s="5" t="s">
        <v>5046</v>
      </c>
    </row>
    <row r="1229" spans="2:34" ht="21" customHeight="1" outlineLevel="4" x14ac:dyDescent="0.2">
      <c r="B1229" s="4">
        <v>933</v>
      </c>
      <c r="C1229" s="5" t="s">
        <v>5047</v>
      </c>
      <c r="D1229" s="5" t="s">
        <v>5048</v>
      </c>
      <c r="E1229" s="6" t="s">
        <v>5049</v>
      </c>
      <c r="F1229" s="10"/>
      <c r="G1229" s="11" t="s">
        <v>5043</v>
      </c>
      <c r="H1229" s="12">
        <v>50</v>
      </c>
      <c r="I1229" s="13" t="s">
        <v>41</v>
      </c>
      <c r="J1229" s="13"/>
      <c r="K1229" s="13"/>
      <c r="L1229" s="4">
        <v>12</v>
      </c>
      <c r="M1229" s="14">
        <f>57*(1-P3/100)</f>
        <v>57</v>
      </c>
      <c r="N1229" s="15"/>
      <c r="O1229" s="13">
        <f>M1229*N1229</f>
        <v>0</v>
      </c>
      <c r="P1229" s="22">
        <f>0.041*N1229</f>
        <v>0</v>
      </c>
      <c r="Q1229" s="23">
        <f>0.00016*N1229</f>
        <v>0</v>
      </c>
      <c r="R1229" s="24"/>
      <c r="S1229" s="25" t="s">
        <v>5050</v>
      </c>
      <c r="T1229" s="25" t="s">
        <v>43</v>
      </c>
      <c r="U1229" s="5"/>
      <c r="V1229" s="5" t="s">
        <v>5051</v>
      </c>
      <c r="W1229" s="5" t="s">
        <v>46</v>
      </c>
      <c r="X1229" s="5"/>
      <c r="Y1229" s="5"/>
      <c r="Z1229" s="5" t="str">
        <f>HYPERLINK("https://knigipp.ru/api/getInfo/image/5ba92edb-edda-11ee-a25b-00155d82e908")</f>
        <v>https://knigipp.ru/api/getInfo/image/5ba92edb-edda-11ee-a25b-00155d82e908</v>
      </c>
      <c r="AA1229" s="33">
        <v>16</v>
      </c>
      <c r="AB1229" s="5"/>
      <c r="AC1229" s="5" t="s">
        <v>96</v>
      </c>
      <c r="AD1229" s="5"/>
      <c r="AE1229" s="5" t="s">
        <v>49</v>
      </c>
      <c r="AF1229" s="5"/>
      <c r="AG1229" s="5"/>
      <c r="AH1229" s="5" t="s">
        <v>5046</v>
      </c>
    </row>
    <row r="1230" spans="2:34" ht="21" customHeight="1" outlineLevel="4" x14ac:dyDescent="0.2">
      <c r="B1230" s="4">
        <v>934</v>
      </c>
      <c r="C1230" s="5" t="s">
        <v>5052</v>
      </c>
      <c r="D1230" s="5" t="s">
        <v>5053</v>
      </c>
      <c r="E1230" s="6" t="s">
        <v>5054</v>
      </c>
      <c r="F1230" s="10"/>
      <c r="G1230" s="11" t="s">
        <v>5043</v>
      </c>
      <c r="H1230" s="12">
        <v>50</v>
      </c>
      <c r="I1230" s="13" t="s">
        <v>41</v>
      </c>
      <c r="J1230" s="13"/>
      <c r="K1230" s="13"/>
      <c r="L1230" s="4">
        <v>12</v>
      </c>
      <c r="M1230" s="14">
        <f>57*(1-P3/100)</f>
        <v>57</v>
      </c>
      <c r="N1230" s="15"/>
      <c r="O1230" s="13">
        <f>M1230*N1230</f>
        <v>0</v>
      </c>
      <c r="P1230" s="22">
        <f>0.041*N1230</f>
        <v>0</v>
      </c>
      <c r="Q1230" s="23">
        <f>0.00012*N1230</f>
        <v>0</v>
      </c>
      <c r="R1230" s="24"/>
      <c r="S1230" s="25" t="s">
        <v>5055</v>
      </c>
      <c r="T1230" s="25" t="s">
        <v>43</v>
      </c>
      <c r="U1230" s="5"/>
      <c r="V1230" s="5" t="s">
        <v>5056</v>
      </c>
      <c r="W1230" s="5" t="s">
        <v>46</v>
      </c>
      <c r="X1230" s="5"/>
      <c r="Y1230" s="5"/>
      <c r="Z1230" s="5" t="str">
        <f>HYPERLINK("https://knigipp.ru/api/getInfo/image/a4956db2-edda-11ee-a25b-00155d82e908")</f>
        <v>https://knigipp.ru/api/getInfo/image/a4956db2-edda-11ee-a25b-00155d82e908</v>
      </c>
      <c r="AA1230" s="33">
        <v>16</v>
      </c>
      <c r="AB1230" s="5"/>
      <c r="AC1230" s="5" t="s">
        <v>96</v>
      </c>
      <c r="AD1230" s="5"/>
      <c r="AE1230" s="5" t="s">
        <v>49</v>
      </c>
      <c r="AF1230" s="5"/>
      <c r="AG1230" s="5"/>
      <c r="AH1230" s="5" t="s">
        <v>5046</v>
      </c>
    </row>
    <row r="1231" spans="2:34" ht="21" customHeight="1" outlineLevel="4" x14ac:dyDescent="0.2">
      <c r="B1231" s="4">
        <v>935</v>
      </c>
      <c r="C1231" s="5" t="s">
        <v>5057</v>
      </c>
      <c r="D1231" s="5" t="s">
        <v>5058</v>
      </c>
      <c r="E1231" s="6" t="s">
        <v>5059</v>
      </c>
      <c r="F1231" s="10"/>
      <c r="G1231" s="11" t="s">
        <v>5043</v>
      </c>
      <c r="H1231" s="12">
        <v>50</v>
      </c>
      <c r="I1231" s="13" t="s">
        <v>41</v>
      </c>
      <c r="J1231" s="13"/>
      <c r="K1231" s="13"/>
      <c r="L1231" s="4">
        <v>12</v>
      </c>
      <c r="M1231" s="14">
        <f>57*(1-P3/100)</f>
        <v>57</v>
      </c>
      <c r="N1231" s="15"/>
      <c r="O1231" s="13">
        <f>M1231*N1231</f>
        <v>0</v>
      </c>
      <c r="P1231" s="22">
        <f>0.038*N1231</f>
        <v>0</v>
      </c>
      <c r="Q1231" s="23">
        <f>0.00008*N1231</f>
        <v>0</v>
      </c>
      <c r="R1231" s="24"/>
      <c r="S1231" s="25" t="s">
        <v>5060</v>
      </c>
      <c r="T1231" s="25" t="s">
        <v>43</v>
      </c>
      <c r="U1231" s="5"/>
      <c r="V1231" s="5" t="s">
        <v>5061</v>
      </c>
      <c r="W1231" s="5" t="s">
        <v>46</v>
      </c>
      <c r="X1231" s="5"/>
      <c r="Y1231" s="5"/>
      <c r="Z1231" s="5" t="str">
        <f>HYPERLINK("https://knigipp.ru/api/getInfo/image/876a1c97-edda-11ee-a25b-00155d82e908")</f>
        <v>https://knigipp.ru/api/getInfo/image/876a1c97-edda-11ee-a25b-00155d82e908</v>
      </c>
      <c r="AA1231" s="33">
        <v>16</v>
      </c>
      <c r="AB1231" s="5"/>
      <c r="AC1231" s="5" t="s">
        <v>96</v>
      </c>
      <c r="AD1231" s="5"/>
      <c r="AE1231" s="5" t="s">
        <v>49</v>
      </c>
      <c r="AF1231" s="5"/>
      <c r="AG1231" s="5"/>
      <c r="AH1231" s="5" t="s">
        <v>5046</v>
      </c>
    </row>
    <row r="1232" spans="2:34" ht="22.95" customHeight="1" outlineLevel="3" x14ac:dyDescent="0.2">
      <c r="B1232" s="74" t="s">
        <v>5062</v>
      </c>
      <c r="C1232" s="74"/>
      <c r="D1232" s="74"/>
    </row>
    <row r="1233" spans="2:34" ht="21" customHeight="1" outlineLevel="4" x14ac:dyDescent="0.2">
      <c r="B1233" s="4">
        <v>936</v>
      </c>
      <c r="C1233" s="5" t="s">
        <v>5063</v>
      </c>
      <c r="D1233" s="5" t="s">
        <v>5064</v>
      </c>
      <c r="E1233" s="6" t="s">
        <v>5065</v>
      </c>
      <c r="F1233" s="10"/>
      <c r="G1233" s="11" t="s">
        <v>5066</v>
      </c>
      <c r="H1233" s="12">
        <v>50</v>
      </c>
      <c r="I1233" s="13" t="s">
        <v>41</v>
      </c>
      <c r="J1233" s="13"/>
      <c r="K1233" s="13"/>
      <c r="L1233" s="4">
        <v>10</v>
      </c>
      <c r="M1233" s="14">
        <f>59*(1-P3/100)</f>
        <v>59</v>
      </c>
      <c r="N1233" s="15"/>
      <c r="O1233" s="13">
        <f>M1233*N1233</f>
        <v>0</v>
      </c>
      <c r="P1233" s="22">
        <f>0.046*N1233</f>
        <v>0</v>
      </c>
      <c r="Q1233" s="23">
        <f>0.00022*N1233</f>
        <v>0</v>
      </c>
      <c r="R1233" s="24"/>
      <c r="S1233" s="25" t="s">
        <v>5067</v>
      </c>
      <c r="T1233" s="25" t="s">
        <v>43</v>
      </c>
      <c r="U1233" s="5"/>
      <c r="V1233" s="5" t="s">
        <v>5068</v>
      </c>
      <c r="W1233" s="5" t="s">
        <v>2731</v>
      </c>
      <c r="X1233" s="5" t="s">
        <v>992</v>
      </c>
      <c r="Y1233" s="5"/>
      <c r="Z1233" s="5" t="str">
        <f>HYPERLINK("https://knigipp.ru/api/getInfo/image/7da795dc-ccc2-11ee-a25a-00155d82e908")</f>
        <v>https://knigipp.ru/api/getInfo/image/7da795dc-ccc2-11ee-a25a-00155d82e908</v>
      </c>
      <c r="AA1233" s="33">
        <v>32</v>
      </c>
      <c r="AB1233" s="5" t="s">
        <v>47</v>
      </c>
      <c r="AC1233" s="5" t="s">
        <v>96</v>
      </c>
      <c r="AD1233" s="5"/>
      <c r="AE1233" s="5" t="s">
        <v>49</v>
      </c>
      <c r="AF1233" s="5"/>
      <c r="AG1233" s="5"/>
      <c r="AH1233" s="5" t="s">
        <v>5069</v>
      </c>
    </row>
    <row r="1234" spans="2:34" ht="21" customHeight="1" outlineLevel="4" x14ac:dyDescent="0.2">
      <c r="B1234" s="4">
        <v>937</v>
      </c>
      <c r="C1234" s="5" t="s">
        <v>5070</v>
      </c>
      <c r="D1234" s="5" t="s">
        <v>5071</v>
      </c>
      <c r="E1234" s="6" t="s">
        <v>5072</v>
      </c>
      <c r="F1234" s="10"/>
      <c r="G1234" s="11" t="s">
        <v>5066</v>
      </c>
      <c r="H1234" s="12">
        <v>50</v>
      </c>
      <c r="I1234" s="13" t="s">
        <v>41</v>
      </c>
      <c r="J1234" s="13"/>
      <c r="K1234" s="13"/>
      <c r="L1234" s="4">
        <v>10</v>
      </c>
      <c r="M1234" s="14">
        <f>59*(1-P3/100)</f>
        <v>59</v>
      </c>
      <c r="N1234" s="15"/>
      <c r="O1234" s="13">
        <f>M1234*N1234</f>
        <v>0</v>
      </c>
      <c r="P1234" s="22">
        <f>0.049*N1234</f>
        <v>0</v>
      </c>
      <c r="Q1234" s="23">
        <f>0.00022*N1234</f>
        <v>0</v>
      </c>
      <c r="R1234" s="24"/>
      <c r="S1234" s="25" t="s">
        <v>5073</v>
      </c>
      <c r="T1234" s="25" t="s">
        <v>43</v>
      </c>
      <c r="U1234" s="5"/>
      <c r="V1234" s="5" t="s">
        <v>5074</v>
      </c>
      <c r="W1234" s="5" t="s">
        <v>2731</v>
      </c>
      <c r="X1234" s="5" t="s">
        <v>992</v>
      </c>
      <c r="Y1234" s="5"/>
      <c r="Z1234" s="5" t="str">
        <f>HYPERLINK("https://knigipp.ru/api/getInfo/image/20cb8eaf-ccc3-11ee-a25a-00155d82e908")</f>
        <v>https://knigipp.ru/api/getInfo/image/20cb8eaf-ccc3-11ee-a25a-00155d82e908</v>
      </c>
      <c r="AA1234" s="33">
        <v>32</v>
      </c>
      <c r="AB1234" s="5" t="s">
        <v>47</v>
      </c>
      <c r="AC1234" s="5" t="s">
        <v>96</v>
      </c>
      <c r="AD1234" s="5"/>
      <c r="AE1234" s="5" t="s">
        <v>49</v>
      </c>
      <c r="AF1234" s="5"/>
      <c r="AG1234" s="5"/>
      <c r="AH1234" s="5" t="s">
        <v>5069</v>
      </c>
    </row>
    <row r="1235" spans="2:34" ht="21" customHeight="1" outlineLevel="4" x14ac:dyDescent="0.2">
      <c r="B1235" s="4">
        <v>938</v>
      </c>
      <c r="C1235" s="5" t="s">
        <v>5075</v>
      </c>
      <c r="D1235" s="5" t="s">
        <v>5076</v>
      </c>
      <c r="E1235" s="6" t="s">
        <v>5077</v>
      </c>
      <c r="F1235" s="10"/>
      <c r="G1235" s="11" t="s">
        <v>5066</v>
      </c>
      <c r="H1235" s="12">
        <v>50</v>
      </c>
      <c r="I1235" s="13" t="s">
        <v>41</v>
      </c>
      <c r="J1235" s="13"/>
      <c r="K1235" s="13"/>
      <c r="L1235" s="4">
        <v>10</v>
      </c>
      <c r="M1235" s="14">
        <f>59*(1-P3/100)</f>
        <v>59</v>
      </c>
      <c r="N1235" s="15"/>
      <c r="O1235" s="13">
        <f>M1235*N1235</f>
        <v>0</v>
      </c>
      <c r="P1235" s="22">
        <f>0.046*N1235</f>
        <v>0</v>
      </c>
      <c r="Q1235" s="23">
        <f>0.00026*N1235</f>
        <v>0</v>
      </c>
      <c r="R1235" s="24"/>
      <c r="S1235" s="25" t="s">
        <v>5078</v>
      </c>
      <c r="T1235" s="25" t="s">
        <v>43</v>
      </c>
      <c r="U1235" s="5"/>
      <c r="V1235" s="5" t="s">
        <v>5079</v>
      </c>
      <c r="W1235" s="5" t="s">
        <v>2731</v>
      </c>
      <c r="X1235" s="5" t="s">
        <v>992</v>
      </c>
      <c r="Y1235" s="5"/>
      <c r="Z1235" s="5" t="str">
        <f>HYPERLINK("https://knigipp.ru/api/getInfo/image/b2d09432-ccc2-11ee-a25a-00155d82e908")</f>
        <v>https://knigipp.ru/api/getInfo/image/b2d09432-ccc2-11ee-a25a-00155d82e908</v>
      </c>
      <c r="AA1235" s="33">
        <v>32</v>
      </c>
      <c r="AB1235" s="5" t="s">
        <v>47</v>
      </c>
      <c r="AC1235" s="5" t="s">
        <v>96</v>
      </c>
      <c r="AD1235" s="5"/>
      <c r="AE1235" s="5" t="s">
        <v>49</v>
      </c>
      <c r="AF1235" s="5"/>
      <c r="AG1235" s="5"/>
      <c r="AH1235" s="5" t="s">
        <v>5069</v>
      </c>
    </row>
    <row r="1236" spans="2:34" ht="21" customHeight="1" outlineLevel="4" x14ac:dyDescent="0.2">
      <c r="B1236" s="4">
        <v>939</v>
      </c>
      <c r="C1236" s="5" t="s">
        <v>5080</v>
      </c>
      <c r="D1236" s="5" t="s">
        <v>5081</v>
      </c>
      <c r="E1236" s="6" t="s">
        <v>5082</v>
      </c>
      <c r="F1236" s="10"/>
      <c r="G1236" s="11" t="s">
        <v>5066</v>
      </c>
      <c r="H1236" s="12">
        <v>50</v>
      </c>
      <c r="I1236" s="13" t="s">
        <v>41</v>
      </c>
      <c r="J1236" s="13"/>
      <c r="K1236" s="13"/>
      <c r="L1236" s="4">
        <v>10</v>
      </c>
      <c r="M1236" s="14">
        <f>59*(1-P3/100)</f>
        <v>59</v>
      </c>
      <c r="N1236" s="15"/>
      <c r="O1236" s="13">
        <f>M1236*N1236</f>
        <v>0</v>
      </c>
      <c r="P1236" s="22">
        <f>0.045*N1236</f>
        <v>0</v>
      </c>
      <c r="Q1236" s="23">
        <f>0.00019*N1236</f>
        <v>0</v>
      </c>
      <c r="R1236" s="24"/>
      <c r="S1236" s="25" t="s">
        <v>5083</v>
      </c>
      <c r="T1236" s="25" t="s">
        <v>43</v>
      </c>
      <c r="U1236" s="5"/>
      <c r="V1236" s="5" t="s">
        <v>5084</v>
      </c>
      <c r="W1236" s="5" t="s">
        <v>2731</v>
      </c>
      <c r="X1236" s="5" t="s">
        <v>992</v>
      </c>
      <c r="Y1236" s="5"/>
      <c r="Z1236" s="5" t="str">
        <f>HYPERLINK("https://knigipp.ru/api/getInfo/image/d883c6ad-ccc2-11ee-a25a-00155d82e908")</f>
        <v>https://knigipp.ru/api/getInfo/image/d883c6ad-ccc2-11ee-a25a-00155d82e908</v>
      </c>
      <c r="AA1236" s="33">
        <v>32</v>
      </c>
      <c r="AB1236" s="5" t="s">
        <v>47</v>
      </c>
      <c r="AC1236" s="5" t="s">
        <v>96</v>
      </c>
      <c r="AD1236" s="5"/>
      <c r="AE1236" s="5" t="s">
        <v>49</v>
      </c>
      <c r="AF1236" s="5"/>
      <c r="AG1236" s="5"/>
      <c r="AH1236" s="5" t="s">
        <v>5069</v>
      </c>
    </row>
    <row r="1237" spans="2:34" ht="22.95" customHeight="1" outlineLevel="3" x14ac:dyDescent="0.2">
      <c r="B1237" s="74" t="s">
        <v>5085</v>
      </c>
      <c r="C1237" s="74"/>
      <c r="D1237" s="74"/>
    </row>
    <row r="1238" spans="2:34" ht="21" customHeight="1" outlineLevel="4" x14ac:dyDescent="0.2">
      <c r="B1238" s="4">
        <v>940</v>
      </c>
      <c r="C1238" s="5" t="s">
        <v>5086</v>
      </c>
      <c r="D1238" s="5" t="s">
        <v>5087</v>
      </c>
      <c r="E1238" s="6" t="s">
        <v>5088</v>
      </c>
      <c r="F1238" s="10"/>
      <c r="G1238" s="11" t="s">
        <v>5089</v>
      </c>
      <c r="H1238" s="12">
        <v>30</v>
      </c>
      <c r="I1238" s="13" t="s">
        <v>41</v>
      </c>
      <c r="J1238" s="13"/>
      <c r="K1238" s="13"/>
      <c r="L1238" s="4">
        <v>8</v>
      </c>
      <c r="M1238" s="14">
        <f>77*(1-P3/100)</f>
        <v>77</v>
      </c>
      <c r="N1238" s="15"/>
      <c r="O1238" s="13">
        <f t="shared" ref="O1238:O1245" si="42">M1238*N1238</f>
        <v>0</v>
      </c>
      <c r="P1238" s="22">
        <f>0.053*N1238</f>
        <v>0</v>
      </c>
      <c r="Q1238" s="30">
        <f>0.0001*N1238</f>
        <v>0</v>
      </c>
      <c r="R1238" s="24"/>
      <c r="S1238" s="25" t="s">
        <v>5090</v>
      </c>
      <c r="T1238" s="25" t="s">
        <v>43</v>
      </c>
      <c r="U1238" s="5"/>
      <c r="V1238" s="5"/>
      <c r="W1238" s="5" t="s">
        <v>46</v>
      </c>
      <c r="X1238" s="5"/>
      <c r="Y1238" s="5"/>
      <c r="Z1238" s="5" t="str">
        <f>HYPERLINK("https://knigipp.ru/api/getInfo/image/d7ac150d-9dc9-11eb-a201-ac1f6b442185")</f>
        <v>https://knigipp.ru/api/getInfo/image/d7ac150d-9dc9-11eb-a201-ac1f6b442185</v>
      </c>
      <c r="AA1238" s="33">
        <v>32</v>
      </c>
      <c r="AB1238" s="5"/>
      <c r="AC1238" s="5" t="s">
        <v>48</v>
      </c>
      <c r="AD1238" s="5"/>
      <c r="AE1238" s="5" t="s">
        <v>49</v>
      </c>
      <c r="AF1238" s="5"/>
      <c r="AG1238" s="5"/>
      <c r="AH1238" s="5" t="s">
        <v>5091</v>
      </c>
    </row>
    <row r="1239" spans="2:34" ht="21" customHeight="1" outlineLevel="4" x14ac:dyDescent="0.2">
      <c r="B1239" s="4">
        <v>941</v>
      </c>
      <c r="C1239" s="5" t="s">
        <v>5092</v>
      </c>
      <c r="D1239" s="5" t="s">
        <v>5093</v>
      </c>
      <c r="E1239" s="6" t="s">
        <v>5094</v>
      </c>
      <c r="F1239" s="10"/>
      <c r="G1239" s="11" t="s">
        <v>5089</v>
      </c>
      <c r="H1239" s="12">
        <v>30</v>
      </c>
      <c r="I1239" s="13" t="s">
        <v>41</v>
      </c>
      <c r="J1239" s="13"/>
      <c r="K1239" s="13"/>
      <c r="L1239" s="4">
        <v>8</v>
      </c>
      <c r="M1239" s="14">
        <f>77*(1-P3/100)</f>
        <v>77</v>
      </c>
      <c r="N1239" s="15"/>
      <c r="O1239" s="13">
        <f t="shared" si="42"/>
        <v>0</v>
      </c>
      <c r="P1239" s="22">
        <f>0.053*N1239</f>
        <v>0</v>
      </c>
      <c r="Q1239" s="30">
        <f>0.0001*N1239</f>
        <v>0</v>
      </c>
      <c r="R1239" s="24"/>
      <c r="S1239" s="25" t="s">
        <v>5095</v>
      </c>
      <c r="T1239" s="25" t="s">
        <v>43</v>
      </c>
      <c r="U1239" s="5"/>
      <c r="V1239" s="5"/>
      <c r="W1239" s="5" t="s">
        <v>46</v>
      </c>
      <c r="X1239" s="5"/>
      <c r="Y1239" s="5"/>
      <c r="Z1239" s="5" t="str">
        <f>HYPERLINK("https://knigipp.ru/api/getInfo/image/8af4e6bd-9dc9-11eb-a201-ac1f6b442185")</f>
        <v>https://knigipp.ru/api/getInfo/image/8af4e6bd-9dc9-11eb-a201-ac1f6b442185</v>
      </c>
      <c r="AA1239" s="33">
        <v>32</v>
      </c>
      <c r="AB1239" s="5"/>
      <c r="AC1239" s="5" t="s">
        <v>48</v>
      </c>
      <c r="AD1239" s="5"/>
      <c r="AE1239" s="5" t="s">
        <v>49</v>
      </c>
      <c r="AF1239" s="5"/>
      <c r="AG1239" s="5"/>
      <c r="AH1239" s="5" t="s">
        <v>5091</v>
      </c>
    </row>
    <row r="1240" spans="2:34" ht="21" customHeight="1" outlineLevel="4" x14ac:dyDescent="0.2">
      <c r="B1240" s="4">
        <v>942</v>
      </c>
      <c r="C1240" s="5" t="s">
        <v>5096</v>
      </c>
      <c r="D1240" s="5" t="s">
        <v>5097</v>
      </c>
      <c r="E1240" s="6" t="s">
        <v>5098</v>
      </c>
      <c r="F1240" s="10"/>
      <c r="G1240" s="11" t="s">
        <v>5089</v>
      </c>
      <c r="H1240" s="12">
        <v>30</v>
      </c>
      <c r="I1240" s="13" t="s">
        <v>41</v>
      </c>
      <c r="J1240" s="13"/>
      <c r="K1240" s="13"/>
      <c r="L1240" s="4">
        <v>8</v>
      </c>
      <c r="M1240" s="14">
        <f>77*(1-P3/100)</f>
        <v>77</v>
      </c>
      <c r="N1240" s="15"/>
      <c r="O1240" s="13">
        <f t="shared" si="42"/>
        <v>0</v>
      </c>
      <c r="P1240" s="22">
        <f>0.053*N1240</f>
        <v>0</v>
      </c>
      <c r="Q1240" s="30">
        <f>0.0001*N1240</f>
        <v>0</v>
      </c>
      <c r="R1240" s="24"/>
      <c r="S1240" s="25" t="s">
        <v>5099</v>
      </c>
      <c r="T1240" s="25" t="s">
        <v>43</v>
      </c>
      <c r="U1240" s="5"/>
      <c r="V1240" s="5"/>
      <c r="W1240" s="5" t="s">
        <v>46</v>
      </c>
      <c r="X1240" s="5"/>
      <c r="Y1240" s="5"/>
      <c r="Z1240" s="5" t="str">
        <f>HYPERLINK("https://knigipp.ru/api/getInfo/image/53ce61d2-0315-11eb-a255-ac1f6b442184")</f>
        <v>https://knigipp.ru/api/getInfo/image/53ce61d2-0315-11eb-a255-ac1f6b442184</v>
      </c>
      <c r="AA1240" s="33">
        <v>32</v>
      </c>
      <c r="AB1240" s="5"/>
      <c r="AC1240" s="5" t="s">
        <v>48</v>
      </c>
      <c r="AD1240" s="5"/>
      <c r="AE1240" s="5" t="s">
        <v>49</v>
      </c>
      <c r="AF1240" s="5"/>
      <c r="AG1240" s="5"/>
      <c r="AH1240" s="5" t="s">
        <v>5091</v>
      </c>
    </row>
    <row r="1241" spans="2:34" ht="21" customHeight="1" outlineLevel="4" x14ac:dyDescent="0.2">
      <c r="B1241" s="4">
        <v>943</v>
      </c>
      <c r="C1241" s="5" t="s">
        <v>5100</v>
      </c>
      <c r="D1241" s="5" t="s">
        <v>5101</v>
      </c>
      <c r="E1241" s="6" t="s">
        <v>5102</v>
      </c>
      <c r="F1241" s="10"/>
      <c r="G1241" s="11" t="s">
        <v>5089</v>
      </c>
      <c r="H1241" s="12">
        <v>30</v>
      </c>
      <c r="I1241" s="13" t="s">
        <v>41</v>
      </c>
      <c r="J1241" s="13"/>
      <c r="K1241" s="13"/>
      <c r="L1241" s="4">
        <v>8</v>
      </c>
      <c r="M1241" s="14">
        <f>77*(1-P3/100)</f>
        <v>77</v>
      </c>
      <c r="N1241" s="15"/>
      <c r="O1241" s="13">
        <f t="shared" si="42"/>
        <v>0</v>
      </c>
      <c r="P1241" s="22">
        <f>0.057*N1241</f>
        <v>0</v>
      </c>
      <c r="Q1241" s="23">
        <f>0.00016*N1241</f>
        <v>0</v>
      </c>
      <c r="R1241" s="24"/>
      <c r="S1241" s="25" t="s">
        <v>5103</v>
      </c>
      <c r="T1241" s="25" t="s">
        <v>43</v>
      </c>
      <c r="U1241" s="5"/>
      <c r="V1241" s="5"/>
      <c r="W1241" s="5" t="s">
        <v>46</v>
      </c>
      <c r="X1241" s="5"/>
      <c r="Y1241" s="5"/>
      <c r="Z1241" s="5" t="str">
        <f>HYPERLINK("https://knigipp.ru/api/getInfo/image/9b51fdd8-0315-11eb-a255-ac1f6b442184")</f>
        <v>https://knigipp.ru/api/getInfo/image/9b51fdd8-0315-11eb-a255-ac1f6b442184</v>
      </c>
      <c r="AA1241" s="33">
        <v>32</v>
      </c>
      <c r="AB1241" s="5"/>
      <c r="AC1241" s="5" t="s">
        <v>48</v>
      </c>
      <c r="AD1241" s="5"/>
      <c r="AE1241" s="5" t="s">
        <v>49</v>
      </c>
      <c r="AF1241" s="5"/>
      <c r="AG1241" s="5"/>
      <c r="AH1241" s="5" t="s">
        <v>5091</v>
      </c>
    </row>
    <row r="1242" spans="2:34" ht="21" customHeight="1" outlineLevel="4" x14ac:dyDescent="0.2">
      <c r="B1242" s="4">
        <v>944</v>
      </c>
      <c r="C1242" s="5" t="s">
        <v>5104</v>
      </c>
      <c r="D1242" s="5" t="s">
        <v>5105</v>
      </c>
      <c r="E1242" s="6" t="s">
        <v>5106</v>
      </c>
      <c r="F1242" s="10"/>
      <c r="G1242" s="11" t="s">
        <v>5089</v>
      </c>
      <c r="H1242" s="12">
        <v>30</v>
      </c>
      <c r="I1242" s="13" t="s">
        <v>41</v>
      </c>
      <c r="J1242" s="13"/>
      <c r="K1242" s="13"/>
      <c r="L1242" s="4">
        <v>8</v>
      </c>
      <c r="M1242" s="14">
        <f>77*(1-P3/100)</f>
        <v>77</v>
      </c>
      <c r="N1242" s="15"/>
      <c r="O1242" s="13">
        <f t="shared" si="42"/>
        <v>0</v>
      </c>
      <c r="P1242" s="22">
        <f>0.062*N1242</f>
        <v>0</v>
      </c>
      <c r="Q1242" s="23">
        <f>0.00031*N1242</f>
        <v>0</v>
      </c>
      <c r="R1242" s="24"/>
      <c r="S1242" s="25" t="s">
        <v>5107</v>
      </c>
      <c r="T1242" s="25" t="s">
        <v>43</v>
      </c>
      <c r="U1242" s="5"/>
      <c r="V1242" s="5"/>
      <c r="W1242" s="5" t="s">
        <v>46</v>
      </c>
      <c r="X1242" s="5"/>
      <c r="Y1242" s="5"/>
      <c r="Z1242" s="5" t="str">
        <f>HYPERLINK("https://knigipp.ru/api/getInfo/image/fdcd0f3a-9dc9-11eb-a201-ac1f6b442185")</f>
        <v>https://knigipp.ru/api/getInfo/image/fdcd0f3a-9dc9-11eb-a201-ac1f6b442185</v>
      </c>
      <c r="AA1242" s="33">
        <v>32</v>
      </c>
      <c r="AB1242" s="5"/>
      <c r="AC1242" s="5" t="s">
        <v>48</v>
      </c>
      <c r="AD1242" s="5"/>
      <c r="AE1242" s="5" t="s">
        <v>49</v>
      </c>
      <c r="AF1242" s="5"/>
      <c r="AG1242" s="5"/>
      <c r="AH1242" s="5" t="s">
        <v>5091</v>
      </c>
    </row>
    <row r="1243" spans="2:34" ht="21" customHeight="1" outlineLevel="4" x14ac:dyDescent="0.2">
      <c r="B1243" s="4">
        <v>945</v>
      </c>
      <c r="C1243" s="5" t="s">
        <v>5108</v>
      </c>
      <c r="D1243" s="5" t="s">
        <v>5109</v>
      </c>
      <c r="E1243" s="6" t="s">
        <v>5110</v>
      </c>
      <c r="F1243" s="10"/>
      <c r="G1243" s="11" t="s">
        <v>5089</v>
      </c>
      <c r="H1243" s="12">
        <v>30</v>
      </c>
      <c r="I1243" s="13" t="s">
        <v>41</v>
      </c>
      <c r="J1243" s="13"/>
      <c r="K1243" s="13"/>
      <c r="L1243" s="4">
        <v>8</v>
      </c>
      <c r="M1243" s="14">
        <f>77*(1-P3/100)</f>
        <v>77</v>
      </c>
      <c r="N1243" s="15"/>
      <c r="O1243" s="13">
        <f t="shared" si="42"/>
        <v>0</v>
      </c>
      <c r="P1243" s="22">
        <f>0.053*N1243</f>
        <v>0</v>
      </c>
      <c r="Q1243" s="30">
        <f>0.0001*N1243</f>
        <v>0</v>
      </c>
      <c r="R1243" s="24"/>
      <c r="S1243" s="25" t="s">
        <v>5111</v>
      </c>
      <c r="T1243" s="25" t="s">
        <v>43</v>
      </c>
      <c r="U1243" s="5"/>
      <c r="V1243" s="5"/>
      <c r="W1243" s="5" t="s">
        <v>46</v>
      </c>
      <c r="X1243" s="5"/>
      <c r="Y1243" s="5"/>
      <c r="Z1243" s="5" t="str">
        <f>HYPERLINK("https://knigipp.ru/api/getInfo/image/b2983e7f-0315-11eb-a255-ac1f6b442184")</f>
        <v>https://knigipp.ru/api/getInfo/image/b2983e7f-0315-11eb-a255-ac1f6b442184</v>
      </c>
      <c r="AA1243" s="33">
        <v>32</v>
      </c>
      <c r="AB1243" s="5"/>
      <c r="AC1243" s="5" t="s">
        <v>48</v>
      </c>
      <c r="AD1243" s="5"/>
      <c r="AE1243" s="5" t="s">
        <v>49</v>
      </c>
      <c r="AF1243" s="5"/>
      <c r="AG1243" s="5"/>
      <c r="AH1243" s="5" t="s">
        <v>5091</v>
      </c>
    </row>
    <row r="1244" spans="2:34" ht="21" customHeight="1" outlineLevel="4" x14ac:dyDescent="0.2">
      <c r="B1244" s="4">
        <v>946</v>
      </c>
      <c r="C1244" s="5" t="s">
        <v>5112</v>
      </c>
      <c r="D1244" s="5" t="s">
        <v>5113</v>
      </c>
      <c r="E1244" s="6" t="s">
        <v>5114</v>
      </c>
      <c r="F1244" s="10"/>
      <c r="G1244" s="11" t="s">
        <v>5089</v>
      </c>
      <c r="H1244" s="12">
        <v>30</v>
      </c>
      <c r="I1244" s="13" t="s">
        <v>41</v>
      </c>
      <c r="J1244" s="13"/>
      <c r="K1244" s="13"/>
      <c r="L1244" s="4">
        <v>8</v>
      </c>
      <c r="M1244" s="14">
        <f>77*(1-P3/100)</f>
        <v>77</v>
      </c>
      <c r="N1244" s="15"/>
      <c r="O1244" s="13">
        <f t="shared" si="42"/>
        <v>0</v>
      </c>
      <c r="P1244" s="22">
        <f>0.053*N1244</f>
        <v>0</v>
      </c>
      <c r="Q1244" s="30">
        <f>0.0001*N1244</f>
        <v>0</v>
      </c>
      <c r="R1244" s="24"/>
      <c r="S1244" s="25" t="s">
        <v>5115</v>
      </c>
      <c r="T1244" s="25" t="s">
        <v>43</v>
      </c>
      <c r="U1244" s="5"/>
      <c r="V1244" s="5"/>
      <c r="W1244" s="5" t="s">
        <v>46</v>
      </c>
      <c r="X1244" s="5"/>
      <c r="Y1244" s="5"/>
      <c r="Z1244" s="5" t="str">
        <f>HYPERLINK("https://knigipp.ru/api/getInfo/image/b8a64243-9dc9-11eb-a201-ac1f6b442185")</f>
        <v>https://knigipp.ru/api/getInfo/image/b8a64243-9dc9-11eb-a201-ac1f6b442185</v>
      </c>
      <c r="AA1244" s="33">
        <v>32</v>
      </c>
      <c r="AB1244" s="5"/>
      <c r="AC1244" s="5" t="s">
        <v>48</v>
      </c>
      <c r="AD1244" s="5"/>
      <c r="AE1244" s="5" t="s">
        <v>49</v>
      </c>
      <c r="AF1244" s="5"/>
      <c r="AG1244" s="5"/>
      <c r="AH1244" s="5" t="s">
        <v>5091</v>
      </c>
    </row>
    <row r="1245" spans="2:34" ht="21" customHeight="1" outlineLevel="4" x14ac:dyDescent="0.2">
      <c r="B1245" s="4">
        <v>947</v>
      </c>
      <c r="C1245" s="5" t="s">
        <v>5116</v>
      </c>
      <c r="D1245" s="5" t="s">
        <v>5117</v>
      </c>
      <c r="E1245" s="6" t="s">
        <v>5118</v>
      </c>
      <c r="F1245" s="10"/>
      <c r="G1245" s="11" t="s">
        <v>5089</v>
      </c>
      <c r="H1245" s="12">
        <v>30</v>
      </c>
      <c r="I1245" s="13" t="s">
        <v>41</v>
      </c>
      <c r="J1245" s="13"/>
      <c r="K1245" s="13"/>
      <c r="L1245" s="4">
        <v>8</v>
      </c>
      <c r="M1245" s="14">
        <f>77*(1-P3/100)</f>
        <v>77</v>
      </c>
      <c r="N1245" s="15"/>
      <c r="O1245" s="13">
        <f t="shared" si="42"/>
        <v>0</v>
      </c>
      <c r="P1245" s="22">
        <f>0.053*N1245</f>
        <v>0</v>
      </c>
      <c r="Q1245" s="30">
        <f>0.0001*N1245</f>
        <v>0</v>
      </c>
      <c r="R1245" s="24"/>
      <c r="S1245" s="25" t="s">
        <v>5119</v>
      </c>
      <c r="T1245" s="25" t="s">
        <v>43</v>
      </c>
      <c r="U1245" s="5"/>
      <c r="V1245" s="5"/>
      <c r="W1245" s="5" t="s">
        <v>46</v>
      </c>
      <c r="X1245" s="5"/>
      <c r="Y1245" s="5"/>
      <c r="Z1245" s="5" t="str">
        <f>HYPERLINK("https://knigipp.ru/api/getInfo/image/cb26450b-0315-11eb-a255-ac1f6b442184")</f>
        <v>https://knigipp.ru/api/getInfo/image/cb26450b-0315-11eb-a255-ac1f6b442184</v>
      </c>
      <c r="AA1245" s="33">
        <v>32</v>
      </c>
      <c r="AB1245" s="5"/>
      <c r="AC1245" s="5" t="s">
        <v>48</v>
      </c>
      <c r="AD1245" s="5"/>
      <c r="AE1245" s="5" t="s">
        <v>49</v>
      </c>
      <c r="AF1245" s="5"/>
      <c r="AG1245" s="5"/>
      <c r="AH1245" s="5" t="s">
        <v>5091</v>
      </c>
    </row>
    <row r="1246" spans="2:34" ht="22.95" customHeight="1" outlineLevel="3" x14ac:dyDescent="0.2">
      <c r="B1246" s="74" t="s">
        <v>5120</v>
      </c>
      <c r="C1246" s="74"/>
      <c r="D1246" s="74"/>
    </row>
    <row r="1247" spans="2:34" ht="21" customHeight="1" outlineLevel="4" x14ac:dyDescent="0.2">
      <c r="B1247" s="4">
        <v>948</v>
      </c>
      <c r="C1247" s="5" t="s">
        <v>5121</v>
      </c>
      <c r="D1247" s="5" t="s">
        <v>5122</v>
      </c>
      <c r="E1247" s="6" t="s">
        <v>5123</v>
      </c>
      <c r="F1247" s="10"/>
      <c r="G1247" s="11" t="s">
        <v>5124</v>
      </c>
      <c r="H1247" s="12">
        <v>40</v>
      </c>
      <c r="I1247" s="13" t="s">
        <v>261</v>
      </c>
      <c r="J1247" s="13"/>
      <c r="K1247" s="13"/>
      <c r="L1247" s="4">
        <v>2</v>
      </c>
      <c r="M1247" s="14">
        <f>439*(1-P3/100)</f>
        <v>439</v>
      </c>
      <c r="N1247" s="15"/>
      <c r="O1247" s="13">
        <f>M1247*N1247</f>
        <v>0</v>
      </c>
      <c r="P1247" s="22">
        <f>0.225*N1247</f>
        <v>0</v>
      </c>
      <c r="Q1247" s="23">
        <f>0.00031*N1247</f>
        <v>0</v>
      </c>
      <c r="R1247" s="24"/>
      <c r="S1247" s="25" t="s">
        <v>5125</v>
      </c>
      <c r="T1247" s="25" t="s">
        <v>43</v>
      </c>
      <c r="U1247" s="5"/>
      <c r="V1247" s="5" t="s">
        <v>5126</v>
      </c>
      <c r="W1247" s="5" t="s">
        <v>4985</v>
      </c>
      <c r="X1247" s="5"/>
      <c r="Y1247" s="5"/>
      <c r="Z1247" s="5" t="str">
        <f>HYPERLINK("https://knigipp.ru/api/getInfo/image/6d8e83ad-8910-11ee-a24a-00155d82e902")</f>
        <v>https://knigipp.ru/api/getInfo/image/6d8e83ad-8910-11ee-a24a-00155d82e902</v>
      </c>
      <c r="AA1247" s="33">
        <v>30</v>
      </c>
      <c r="AB1247" s="5" t="s">
        <v>47</v>
      </c>
      <c r="AC1247" s="5" t="s">
        <v>219</v>
      </c>
      <c r="AD1247" s="5"/>
      <c r="AE1247" s="5" t="s">
        <v>49</v>
      </c>
      <c r="AF1247" s="5"/>
      <c r="AG1247" s="5"/>
      <c r="AH1247" s="5" t="s">
        <v>5127</v>
      </c>
    </row>
    <row r="1248" spans="2:34" ht="21" customHeight="1" outlineLevel="4" x14ac:dyDescent="0.2">
      <c r="B1248" s="4">
        <v>949</v>
      </c>
      <c r="C1248" s="5" t="s">
        <v>5128</v>
      </c>
      <c r="D1248" s="5" t="s">
        <v>5129</v>
      </c>
      <c r="E1248" s="6" t="s">
        <v>5130</v>
      </c>
      <c r="F1248" s="10"/>
      <c r="G1248" s="11" t="s">
        <v>5131</v>
      </c>
      <c r="H1248" s="12">
        <v>40</v>
      </c>
      <c r="I1248" s="13" t="s">
        <v>41</v>
      </c>
      <c r="J1248" s="13"/>
      <c r="K1248" s="13"/>
      <c r="L1248" s="4">
        <v>2</v>
      </c>
      <c r="M1248" s="14">
        <f>439*(1-P3/100)</f>
        <v>439</v>
      </c>
      <c r="N1248" s="15"/>
      <c r="O1248" s="13">
        <f>M1248*N1248</f>
        <v>0</v>
      </c>
      <c r="P1248" s="32">
        <f>0.22*N1248</f>
        <v>0</v>
      </c>
      <c r="Q1248" s="23">
        <f>0.00006*N1248</f>
        <v>0</v>
      </c>
      <c r="R1248" s="24"/>
      <c r="S1248" s="25" t="s">
        <v>5132</v>
      </c>
      <c r="T1248" s="25" t="s">
        <v>43</v>
      </c>
      <c r="U1248" s="5"/>
      <c r="V1248" s="5" t="s">
        <v>5133</v>
      </c>
      <c r="W1248" s="5" t="s">
        <v>5134</v>
      </c>
      <c r="X1248" s="5"/>
      <c r="Y1248" s="5"/>
      <c r="Z1248" s="5" t="str">
        <f>HYPERLINK("https://knigipp.ru/api/getInfo/image/35311e89-ae56-11ef-a267-00155d82e908")</f>
        <v>https://knigipp.ru/api/getInfo/image/35311e89-ae56-11ef-a267-00155d82e908</v>
      </c>
      <c r="AA1248" s="33">
        <v>30</v>
      </c>
      <c r="AB1248" s="5" t="s">
        <v>47</v>
      </c>
      <c r="AC1248" s="5" t="s">
        <v>219</v>
      </c>
      <c r="AD1248" s="5"/>
      <c r="AE1248" s="5" t="s">
        <v>49</v>
      </c>
      <c r="AF1248" s="5"/>
      <c r="AG1248" s="5"/>
      <c r="AH1248" s="5" t="s">
        <v>5127</v>
      </c>
    </row>
    <row r="1249" spans="2:34" ht="22.95" customHeight="1" outlineLevel="3" x14ac:dyDescent="0.2">
      <c r="B1249" s="74" t="s">
        <v>5135</v>
      </c>
      <c r="C1249" s="74"/>
      <c r="D1249" s="74"/>
    </row>
    <row r="1250" spans="2:34" ht="21" customHeight="1" outlineLevel="4" x14ac:dyDescent="0.2">
      <c r="B1250" s="4">
        <v>950</v>
      </c>
      <c r="C1250" s="5" t="s">
        <v>5136</v>
      </c>
      <c r="D1250" s="5" t="s">
        <v>5137</v>
      </c>
      <c r="E1250" s="6" t="s">
        <v>5138</v>
      </c>
      <c r="F1250" s="10"/>
      <c r="G1250" s="11" t="s">
        <v>5139</v>
      </c>
      <c r="H1250" s="12">
        <v>30</v>
      </c>
      <c r="I1250" s="13" t="s">
        <v>41</v>
      </c>
      <c r="J1250" s="13"/>
      <c r="K1250" s="13"/>
      <c r="L1250" s="4">
        <v>15</v>
      </c>
      <c r="M1250" s="14">
        <f>41.7*(1-P3/100)</f>
        <v>41.7</v>
      </c>
      <c r="N1250" s="15"/>
      <c r="O1250" s="13">
        <f t="shared" ref="O1250:O1261" si="43">M1250*N1250</f>
        <v>0</v>
      </c>
      <c r="P1250" s="22">
        <f t="shared" ref="P1250:P1260" si="44">0.047*N1250</f>
        <v>0</v>
      </c>
      <c r="Q1250" s="23">
        <f t="shared" ref="Q1250:Q1260" si="45">0.00007*N1250</f>
        <v>0</v>
      </c>
      <c r="R1250" s="24"/>
      <c r="S1250" s="25" t="s">
        <v>5140</v>
      </c>
      <c r="T1250" s="25" t="s">
        <v>43</v>
      </c>
      <c r="U1250" s="5"/>
      <c r="V1250" s="5"/>
      <c r="W1250" s="5" t="s">
        <v>5134</v>
      </c>
      <c r="X1250" s="5"/>
      <c r="Y1250" s="5"/>
      <c r="Z1250" s="5" t="str">
        <f>HYPERLINK("https://knigipp.ru/api/getInfo/image/1fe3766e-257b-11ea-a239-ac1f6b442184")</f>
        <v>https://knigipp.ru/api/getInfo/image/1fe3766e-257b-11ea-a239-ac1f6b442184</v>
      </c>
      <c r="AA1250" s="33">
        <v>32</v>
      </c>
      <c r="AB1250" s="5"/>
      <c r="AC1250" s="5" t="s">
        <v>96</v>
      </c>
      <c r="AD1250" s="5"/>
      <c r="AE1250" s="5" t="s">
        <v>49</v>
      </c>
      <c r="AF1250" s="5"/>
      <c r="AG1250" s="5" t="s">
        <v>5141</v>
      </c>
      <c r="AH1250" s="5" t="s">
        <v>5142</v>
      </c>
    </row>
    <row r="1251" spans="2:34" ht="21" customHeight="1" outlineLevel="4" x14ac:dyDescent="0.2">
      <c r="B1251" s="4">
        <v>951</v>
      </c>
      <c r="C1251" s="5" t="s">
        <v>5143</v>
      </c>
      <c r="D1251" s="5" t="s">
        <v>5144</v>
      </c>
      <c r="E1251" s="6" t="s">
        <v>5145</v>
      </c>
      <c r="F1251" s="10"/>
      <c r="G1251" s="11" t="s">
        <v>5139</v>
      </c>
      <c r="H1251" s="12">
        <v>30</v>
      </c>
      <c r="I1251" s="13" t="s">
        <v>41</v>
      </c>
      <c r="J1251" s="13"/>
      <c r="K1251" s="13"/>
      <c r="L1251" s="4">
        <v>15</v>
      </c>
      <c r="M1251" s="14">
        <f>41.7*(1-P3/100)</f>
        <v>41.7</v>
      </c>
      <c r="N1251" s="15"/>
      <c r="O1251" s="13">
        <f t="shared" si="43"/>
        <v>0</v>
      </c>
      <c r="P1251" s="22">
        <f t="shared" si="44"/>
        <v>0</v>
      </c>
      <c r="Q1251" s="23">
        <f t="shared" si="45"/>
        <v>0</v>
      </c>
      <c r="R1251" s="24"/>
      <c r="S1251" s="25" t="s">
        <v>5146</v>
      </c>
      <c r="T1251" s="25" t="s">
        <v>43</v>
      </c>
      <c r="U1251" s="5"/>
      <c r="V1251" s="5"/>
      <c r="W1251" s="5" t="s">
        <v>5147</v>
      </c>
      <c r="X1251" s="5"/>
      <c r="Y1251" s="5"/>
      <c r="Z1251" s="5" t="str">
        <f>HYPERLINK("https://knigipp.ru/api/getInfo/image/969e6ffc-257a-11ea-a239-ac1f6b442184")</f>
        <v>https://knigipp.ru/api/getInfo/image/969e6ffc-257a-11ea-a239-ac1f6b442184</v>
      </c>
      <c r="AA1251" s="33">
        <v>32</v>
      </c>
      <c r="AB1251" s="5"/>
      <c r="AC1251" s="5" t="s">
        <v>96</v>
      </c>
      <c r="AD1251" s="5"/>
      <c r="AE1251" s="5" t="s">
        <v>49</v>
      </c>
      <c r="AF1251" s="5"/>
      <c r="AG1251" s="5" t="s">
        <v>5141</v>
      </c>
      <c r="AH1251" s="5" t="s">
        <v>5142</v>
      </c>
    </row>
    <row r="1252" spans="2:34" ht="21" customHeight="1" outlineLevel="4" x14ac:dyDescent="0.2">
      <c r="B1252" s="4">
        <v>952</v>
      </c>
      <c r="C1252" s="5" t="s">
        <v>5148</v>
      </c>
      <c r="D1252" s="5" t="s">
        <v>5149</v>
      </c>
      <c r="E1252" s="6" t="s">
        <v>5150</v>
      </c>
      <c r="F1252" s="10"/>
      <c r="G1252" s="11" t="s">
        <v>5139</v>
      </c>
      <c r="H1252" s="12">
        <v>30</v>
      </c>
      <c r="I1252" s="13" t="s">
        <v>41</v>
      </c>
      <c r="J1252" s="13"/>
      <c r="K1252" s="13"/>
      <c r="L1252" s="4">
        <v>15</v>
      </c>
      <c r="M1252" s="14">
        <f>41.7*(1-P3/100)</f>
        <v>41.7</v>
      </c>
      <c r="N1252" s="15"/>
      <c r="O1252" s="13">
        <f t="shared" si="43"/>
        <v>0</v>
      </c>
      <c r="P1252" s="22">
        <f t="shared" si="44"/>
        <v>0</v>
      </c>
      <c r="Q1252" s="23">
        <f t="shared" si="45"/>
        <v>0</v>
      </c>
      <c r="R1252" s="24"/>
      <c r="S1252" s="25" t="s">
        <v>5151</v>
      </c>
      <c r="T1252" s="25" t="s">
        <v>43</v>
      </c>
      <c r="U1252" s="5"/>
      <c r="V1252" s="5"/>
      <c r="W1252" s="5" t="s">
        <v>46</v>
      </c>
      <c r="X1252" s="5"/>
      <c r="Y1252" s="5"/>
      <c r="Z1252" s="5" t="str">
        <f>HYPERLINK("https://knigipp.ru/api/getInfo/image/74aab075-c02e-11e9-a232-ac1f6b442184")</f>
        <v>https://knigipp.ru/api/getInfo/image/74aab075-c02e-11e9-a232-ac1f6b442184</v>
      </c>
      <c r="AA1252" s="33">
        <v>32</v>
      </c>
      <c r="AB1252" s="5"/>
      <c r="AC1252" s="5" t="s">
        <v>96</v>
      </c>
      <c r="AD1252" s="5"/>
      <c r="AE1252" s="5" t="s">
        <v>49</v>
      </c>
      <c r="AF1252" s="5"/>
      <c r="AG1252" s="5"/>
      <c r="AH1252" s="5" t="s">
        <v>5142</v>
      </c>
    </row>
    <row r="1253" spans="2:34" ht="21" customHeight="1" outlineLevel="4" x14ac:dyDescent="0.2">
      <c r="B1253" s="4">
        <v>953</v>
      </c>
      <c r="C1253" s="5" t="s">
        <v>5152</v>
      </c>
      <c r="D1253" s="5" t="s">
        <v>5153</v>
      </c>
      <c r="E1253" s="6" t="s">
        <v>5154</v>
      </c>
      <c r="F1253" s="10"/>
      <c r="G1253" s="11" t="s">
        <v>5139</v>
      </c>
      <c r="H1253" s="12">
        <v>30</v>
      </c>
      <c r="I1253" s="13" t="s">
        <v>41</v>
      </c>
      <c r="J1253" s="13"/>
      <c r="K1253" s="13"/>
      <c r="L1253" s="4">
        <v>15</v>
      </c>
      <c r="M1253" s="14">
        <f>41.7*(1-P3/100)</f>
        <v>41.7</v>
      </c>
      <c r="N1253" s="15"/>
      <c r="O1253" s="13">
        <f t="shared" si="43"/>
        <v>0</v>
      </c>
      <c r="P1253" s="22">
        <f t="shared" si="44"/>
        <v>0</v>
      </c>
      <c r="Q1253" s="23">
        <f t="shared" si="45"/>
        <v>0</v>
      </c>
      <c r="R1253" s="24"/>
      <c r="S1253" s="25" t="s">
        <v>5155</v>
      </c>
      <c r="T1253" s="25" t="s">
        <v>43</v>
      </c>
      <c r="U1253" s="5"/>
      <c r="V1253" s="5"/>
      <c r="W1253" s="5" t="s">
        <v>46</v>
      </c>
      <c r="X1253" s="5"/>
      <c r="Y1253" s="5"/>
      <c r="Z1253" s="5" t="str">
        <f>HYPERLINK("https://knigipp.ru/api/getInfo/image/882ba13e-c02e-11e9-a232-ac1f6b442184")</f>
        <v>https://knigipp.ru/api/getInfo/image/882ba13e-c02e-11e9-a232-ac1f6b442184</v>
      </c>
      <c r="AA1253" s="33">
        <v>32</v>
      </c>
      <c r="AB1253" s="5"/>
      <c r="AC1253" s="5" t="s">
        <v>96</v>
      </c>
      <c r="AD1253" s="5"/>
      <c r="AE1253" s="5" t="s">
        <v>49</v>
      </c>
      <c r="AF1253" s="5"/>
      <c r="AG1253" s="5"/>
      <c r="AH1253" s="5" t="s">
        <v>5142</v>
      </c>
    </row>
    <row r="1254" spans="2:34" ht="21" customHeight="1" outlineLevel="4" x14ac:dyDescent="0.2">
      <c r="B1254" s="4">
        <v>954</v>
      </c>
      <c r="C1254" s="5" t="s">
        <v>5156</v>
      </c>
      <c r="D1254" s="5" t="s">
        <v>5157</v>
      </c>
      <c r="E1254" s="6" t="s">
        <v>5158</v>
      </c>
      <c r="F1254" s="10"/>
      <c r="G1254" s="11" t="s">
        <v>5139</v>
      </c>
      <c r="H1254" s="12">
        <v>30</v>
      </c>
      <c r="I1254" s="13" t="s">
        <v>41</v>
      </c>
      <c r="J1254" s="13"/>
      <c r="K1254" s="13"/>
      <c r="L1254" s="4">
        <v>15</v>
      </c>
      <c r="M1254" s="14">
        <f>41.7*(1-P3/100)</f>
        <v>41.7</v>
      </c>
      <c r="N1254" s="15"/>
      <c r="O1254" s="13">
        <f t="shared" si="43"/>
        <v>0</v>
      </c>
      <c r="P1254" s="22">
        <f t="shared" si="44"/>
        <v>0</v>
      </c>
      <c r="Q1254" s="23">
        <f t="shared" si="45"/>
        <v>0</v>
      </c>
      <c r="R1254" s="24"/>
      <c r="S1254" s="25" t="s">
        <v>5159</v>
      </c>
      <c r="T1254" s="25" t="s">
        <v>43</v>
      </c>
      <c r="U1254" s="5"/>
      <c r="V1254" s="5"/>
      <c r="W1254" s="5" t="s">
        <v>2731</v>
      </c>
      <c r="X1254" s="5"/>
      <c r="Y1254" s="5"/>
      <c r="Z1254" s="5" t="str">
        <f>HYPERLINK("https://knigipp.ru/api/getInfo/image/ca48ccf6-257a-11ea-a239-ac1f6b442184")</f>
        <v>https://knigipp.ru/api/getInfo/image/ca48ccf6-257a-11ea-a239-ac1f6b442184</v>
      </c>
      <c r="AA1254" s="33">
        <v>32</v>
      </c>
      <c r="AB1254" s="5"/>
      <c r="AC1254" s="5" t="s">
        <v>96</v>
      </c>
      <c r="AD1254" s="5"/>
      <c r="AE1254" s="5" t="s">
        <v>49</v>
      </c>
      <c r="AF1254" s="5"/>
      <c r="AG1254" s="5" t="s">
        <v>5141</v>
      </c>
      <c r="AH1254" s="5" t="s">
        <v>5142</v>
      </c>
    </row>
    <row r="1255" spans="2:34" ht="21" customHeight="1" outlineLevel="4" x14ac:dyDescent="0.2">
      <c r="B1255" s="4">
        <v>955</v>
      </c>
      <c r="C1255" s="5" t="s">
        <v>5160</v>
      </c>
      <c r="D1255" s="5" t="s">
        <v>5161</v>
      </c>
      <c r="E1255" s="6" t="s">
        <v>5162</v>
      </c>
      <c r="F1255" s="10"/>
      <c r="G1255" s="11" t="s">
        <v>5139</v>
      </c>
      <c r="H1255" s="12">
        <v>30</v>
      </c>
      <c r="I1255" s="13" t="s">
        <v>41</v>
      </c>
      <c r="J1255" s="13"/>
      <c r="K1255" s="13"/>
      <c r="L1255" s="4">
        <v>15</v>
      </c>
      <c r="M1255" s="14">
        <f>41.7*(1-P3/100)</f>
        <v>41.7</v>
      </c>
      <c r="N1255" s="15"/>
      <c r="O1255" s="13">
        <f t="shared" si="43"/>
        <v>0</v>
      </c>
      <c r="P1255" s="22">
        <f t="shared" si="44"/>
        <v>0</v>
      </c>
      <c r="Q1255" s="23">
        <f t="shared" si="45"/>
        <v>0</v>
      </c>
      <c r="R1255" s="24"/>
      <c r="S1255" s="25" t="s">
        <v>5163</v>
      </c>
      <c r="T1255" s="25" t="s">
        <v>43</v>
      </c>
      <c r="U1255" s="5"/>
      <c r="V1255" s="5"/>
      <c r="W1255" s="5" t="s">
        <v>5134</v>
      </c>
      <c r="X1255" s="5"/>
      <c r="Y1255" s="5"/>
      <c r="Z1255" s="5" t="str">
        <f>HYPERLINK("https://knigipp.ru/api/getInfo/image/abc7d460-257a-11ea-a239-ac1f6b442184")</f>
        <v>https://knigipp.ru/api/getInfo/image/abc7d460-257a-11ea-a239-ac1f6b442184</v>
      </c>
      <c r="AA1255" s="33">
        <v>32</v>
      </c>
      <c r="AB1255" s="5"/>
      <c r="AC1255" s="5" t="s">
        <v>96</v>
      </c>
      <c r="AD1255" s="5"/>
      <c r="AE1255" s="5" t="s">
        <v>49</v>
      </c>
      <c r="AF1255" s="5"/>
      <c r="AG1255" s="5" t="s">
        <v>5141</v>
      </c>
      <c r="AH1255" s="5" t="s">
        <v>5142</v>
      </c>
    </row>
    <row r="1256" spans="2:34" ht="21" customHeight="1" outlineLevel="4" x14ac:dyDescent="0.2">
      <c r="B1256" s="4">
        <v>956</v>
      </c>
      <c r="C1256" s="5" t="s">
        <v>5164</v>
      </c>
      <c r="D1256" s="5" t="s">
        <v>5165</v>
      </c>
      <c r="E1256" s="6" t="s">
        <v>5166</v>
      </c>
      <c r="F1256" s="10"/>
      <c r="G1256" s="11" t="s">
        <v>5139</v>
      </c>
      <c r="H1256" s="12">
        <v>30</v>
      </c>
      <c r="I1256" s="13" t="s">
        <v>41</v>
      </c>
      <c r="J1256" s="13"/>
      <c r="K1256" s="13"/>
      <c r="L1256" s="4">
        <v>15</v>
      </c>
      <c r="M1256" s="14">
        <f>41.7*(1-P3/100)</f>
        <v>41.7</v>
      </c>
      <c r="N1256" s="15"/>
      <c r="O1256" s="13">
        <f t="shared" si="43"/>
        <v>0</v>
      </c>
      <c r="P1256" s="22">
        <f t="shared" si="44"/>
        <v>0</v>
      </c>
      <c r="Q1256" s="23">
        <f t="shared" si="45"/>
        <v>0</v>
      </c>
      <c r="R1256" s="24"/>
      <c r="S1256" s="25" t="s">
        <v>5167</v>
      </c>
      <c r="T1256" s="25" t="s">
        <v>43</v>
      </c>
      <c r="U1256" s="5"/>
      <c r="V1256" s="5"/>
      <c r="W1256" s="5" t="s">
        <v>46</v>
      </c>
      <c r="X1256" s="5"/>
      <c r="Y1256" s="5"/>
      <c r="Z1256" s="5" t="str">
        <f>HYPERLINK("https://knigipp.ru/api/getInfo/image/cf951111-c02d-11e9-a232-ac1f6b442184")</f>
        <v>https://knigipp.ru/api/getInfo/image/cf951111-c02d-11e9-a232-ac1f6b442184</v>
      </c>
      <c r="AA1256" s="33">
        <v>32</v>
      </c>
      <c r="AB1256" s="5"/>
      <c r="AC1256" s="5" t="s">
        <v>96</v>
      </c>
      <c r="AD1256" s="5"/>
      <c r="AE1256" s="5" t="s">
        <v>49</v>
      </c>
      <c r="AF1256" s="5"/>
      <c r="AG1256" s="5"/>
      <c r="AH1256" s="5" t="s">
        <v>5142</v>
      </c>
    </row>
    <row r="1257" spans="2:34" ht="21" customHeight="1" outlineLevel="4" x14ac:dyDescent="0.2">
      <c r="B1257" s="4">
        <v>957</v>
      </c>
      <c r="C1257" s="5" t="s">
        <v>5168</v>
      </c>
      <c r="D1257" s="5" t="s">
        <v>5169</v>
      </c>
      <c r="E1257" s="6" t="s">
        <v>5170</v>
      </c>
      <c r="F1257" s="10"/>
      <c r="G1257" s="11" t="s">
        <v>5139</v>
      </c>
      <c r="H1257" s="12">
        <v>30</v>
      </c>
      <c r="I1257" s="13" t="s">
        <v>41</v>
      </c>
      <c r="J1257" s="13"/>
      <c r="K1257" s="13"/>
      <c r="L1257" s="4">
        <v>15</v>
      </c>
      <c r="M1257" s="14">
        <f>41.7*(1-P3/100)</f>
        <v>41.7</v>
      </c>
      <c r="N1257" s="15"/>
      <c r="O1257" s="13">
        <f t="shared" si="43"/>
        <v>0</v>
      </c>
      <c r="P1257" s="22">
        <f t="shared" si="44"/>
        <v>0</v>
      </c>
      <c r="Q1257" s="23">
        <f t="shared" si="45"/>
        <v>0</v>
      </c>
      <c r="R1257" s="24"/>
      <c r="S1257" s="25" t="s">
        <v>5171</v>
      </c>
      <c r="T1257" s="25" t="s">
        <v>43</v>
      </c>
      <c r="U1257" s="5"/>
      <c r="V1257" s="5"/>
      <c r="W1257" s="5" t="s">
        <v>46</v>
      </c>
      <c r="X1257" s="5"/>
      <c r="Y1257" s="5"/>
      <c r="Z1257" s="5" t="str">
        <f>HYPERLINK("https://knigipp.ru/api/getInfo/image/3a6114d8-c02e-11e9-a232-ac1f6b442184")</f>
        <v>https://knigipp.ru/api/getInfo/image/3a6114d8-c02e-11e9-a232-ac1f6b442184</v>
      </c>
      <c r="AA1257" s="33">
        <v>32</v>
      </c>
      <c r="AB1257" s="5"/>
      <c r="AC1257" s="5" t="s">
        <v>96</v>
      </c>
      <c r="AD1257" s="5"/>
      <c r="AE1257" s="5" t="s">
        <v>49</v>
      </c>
      <c r="AF1257" s="5"/>
      <c r="AG1257" s="5"/>
      <c r="AH1257" s="5" t="s">
        <v>5142</v>
      </c>
    </row>
    <row r="1258" spans="2:34" ht="21" customHeight="1" outlineLevel="4" x14ac:dyDescent="0.2">
      <c r="B1258" s="4">
        <v>958</v>
      </c>
      <c r="C1258" s="5" t="s">
        <v>5172</v>
      </c>
      <c r="D1258" s="5" t="s">
        <v>5173</v>
      </c>
      <c r="E1258" s="6" t="s">
        <v>5174</v>
      </c>
      <c r="F1258" s="10"/>
      <c r="G1258" s="11" t="s">
        <v>5139</v>
      </c>
      <c r="H1258" s="12">
        <v>30</v>
      </c>
      <c r="I1258" s="13" t="s">
        <v>41</v>
      </c>
      <c r="J1258" s="13"/>
      <c r="K1258" s="13"/>
      <c r="L1258" s="4">
        <v>15</v>
      </c>
      <c r="M1258" s="14">
        <f>41.7*(1-P3/100)</f>
        <v>41.7</v>
      </c>
      <c r="N1258" s="15"/>
      <c r="O1258" s="13">
        <f t="shared" si="43"/>
        <v>0</v>
      </c>
      <c r="P1258" s="22">
        <f t="shared" si="44"/>
        <v>0</v>
      </c>
      <c r="Q1258" s="23">
        <f t="shared" si="45"/>
        <v>0</v>
      </c>
      <c r="R1258" s="24"/>
      <c r="S1258" s="25" t="s">
        <v>5175</v>
      </c>
      <c r="T1258" s="25" t="s">
        <v>43</v>
      </c>
      <c r="U1258" s="5"/>
      <c r="V1258" s="5"/>
      <c r="W1258" s="5" t="s">
        <v>46</v>
      </c>
      <c r="X1258" s="5"/>
      <c r="Y1258" s="5"/>
      <c r="Z1258" s="5" t="str">
        <f>HYPERLINK("https://knigipp.ru/api/getInfo/image/9f55a605-c02e-11e9-a232-ac1f6b442184")</f>
        <v>https://knigipp.ru/api/getInfo/image/9f55a605-c02e-11e9-a232-ac1f6b442184</v>
      </c>
      <c r="AA1258" s="33">
        <v>32</v>
      </c>
      <c r="AB1258" s="5"/>
      <c r="AC1258" s="5" t="s">
        <v>96</v>
      </c>
      <c r="AD1258" s="5"/>
      <c r="AE1258" s="5" t="s">
        <v>49</v>
      </c>
      <c r="AF1258" s="5"/>
      <c r="AG1258" s="5"/>
      <c r="AH1258" s="5" t="s">
        <v>5142</v>
      </c>
    </row>
    <row r="1259" spans="2:34" ht="21" customHeight="1" outlineLevel="4" x14ac:dyDescent="0.2">
      <c r="B1259" s="4">
        <v>959</v>
      </c>
      <c r="C1259" s="5" t="s">
        <v>5176</v>
      </c>
      <c r="D1259" s="5" t="s">
        <v>5177</v>
      </c>
      <c r="E1259" s="6" t="s">
        <v>5178</v>
      </c>
      <c r="F1259" s="10"/>
      <c r="G1259" s="11" t="s">
        <v>5139</v>
      </c>
      <c r="H1259" s="12">
        <v>30</v>
      </c>
      <c r="I1259" s="13" t="s">
        <v>41</v>
      </c>
      <c r="J1259" s="13"/>
      <c r="K1259" s="13"/>
      <c r="L1259" s="4">
        <v>15</v>
      </c>
      <c r="M1259" s="14">
        <f>41.7*(1-P3/100)</f>
        <v>41.7</v>
      </c>
      <c r="N1259" s="15"/>
      <c r="O1259" s="13">
        <f t="shared" si="43"/>
        <v>0</v>
      </c>
      <c r="P1259" s="22">
        <f t="shared" si="44"/>
        <v>0</v>
      </c>
      <c r="Q1259" s="23">
        <f t="shared" si="45"/>
        <v>0</v>
      </c>
      <c r="R1259" s="24"/>
      <c r="S1259" s="25" t="s">
        <v>5179</v>
      </c>
      <c r="T1259" s="25" t="s">
        <v>43</v>
      </c>
      <c r="U1259" s="5"/>
      <c r="V1259" s="5"/>
      <c r="W1259" s="5" t="s">
        <v>46</v>
      </c>
      <c r="X1259" s="5"/>
      <c r="Y1259" s="5"/>
      <c r="Z1259" s="5" t="str">
        <f>HYPERLINK("https://knigipp.ru/api/getInfo/image/e7df9114-c02d-11e9-a232-ac1f6b442184")</f>
        <v>https://knigipp.ru/api/getInfo/image/e7df9114-c02d-11e9-a232-ac1f6b442184</v>
      </c>
      <c r="AA1259" s="33">
        <v>32</v>
      </c>
      <c r="AB1259" s="5"/>
      <c r="AC1259" s="5" t="s">
        <v>96</v>
      </c>
      <c r="AD1259" s="5"/>
      <c r="AE1259" s="5" t="s">
        <v>49</v>
      </c>
      <c r="AF1259" s="5"/>
      <c r="AG1259" s="5"/>
      <c r="AH1259" s="5" t="s">
        <v>5142</v>
      </c>
    </row>
    <row r="1260" spans="2:34" ht="21" customHeight="1" outlineLevel="4" x14ac:dyDescent="0.2">
      <c r="B1260" s="4">
        <v>960</v>
      </c>
      <c r="C1260" s="5" t="s">
        <v>5180</v>
      </c>
      <c r="D1260" s="5" t="s">
        <v>5181</v>
      </c>
      <c r="E1260" s="6" t="s">
        <v>5182</v>
      </c>
      <c r="F1260" s="10"/>
      <c r="G1260" s="11" t="s">
        <v>5139</v>
      </c>
      <c r="H1260" s="12">
        <v>30</v>
      </c>
      <c r="I1260" s="13" t="s">
        <v>41</v>
      </c>
      <c r="J1260" s="13"/>
      <c r="K1260" s="13"/>
      <c r="L1260" s="4">
        <v>15</v>
      </c>
      <c r="M1260" s="14">
        <f>41.7*(1-P3/100)</f>
        <v>41.7</v>
      </c>
      <c r="N1260" s="15"/>
      <c r="O1260" s="13">
        <f t="shared" si="43"/>
        <v>0</v>
      </c>
      <c r="P1260" s="22">
        <f t="shared" si="44"/>
        <v>0</v>
      </c>
      <c r="Q1260" s="23">
        <f t="shared" si="45"/>
        <v>0</v>
      </c>
      <c r="R1260" s="24"/>
      <c r="S1260" s="25" t="s">
        <v>5183</v>
      </c>
      <c r="T1260" s="25" t="s">
        <v>43</v>
      </c>
      <c r="U1260" s="5"/>
      <c r="V1260" s="5"/>
      <c r="W1260" s="5" t="s">
        <v>46</v>
      </c>
      <c r="X1260" s="5"/>
      <c r="Y1260" s="5"/>
      <c r="Z1260" s="5" t="str">
        <f>HYPERLINK("https://knigipp.ru/api/getInfo/image/204f2a30-c02e-11e9-a232-ac1f6b442184")</f>
        <v>https://knigipp.ru/api/getInfo/image/204f2a30-c02e-11e9-a232-ac1f6b442184</v>
      </c>
      <c r="AA1260" s="33">
        <v>32</v>
      </c>
      <c r="AB1260" s="5"/>
      <c r="AC1260" s="5" t="s">
        <v>96</v>
      </c>
      <c r="AD1260" s="5"/>
      <c r="AE1260" s="5" t="s">
        <v>49</v>
      </c>
      <c r="AF1260" s="5"/>
      <c r="AG1260" s="5"/>
      <c r="AH1260" s="5" t="s">
        <v>5142</v>
      </c>
    </row>
    <row r="1261" spans="2:34" ht="21" customHeight="1" outlineLevel="4" x14ac:dyDescent="0.2">
      <c r="B1261" s="4">
        <v>961</v>
      </c>
      <c r="C1261" s="5" t="s">
        <v>5184</v>
      </c>
      <c r="D1261" s="5" t="s">
        <v>5185</v>
      </c>
      <c r="E1261" s="6" t="s">
        <v>5186</v>
      </c>
      <c r="F1261" s="10"/>
      <c r="G1261" s="11" t="s">
        <v>5139</v>
      </c>
      <c r="H1261" s="12">
        <v>30</v>
      </c>
      <c r="I1261" s="13" t="s">
        <v>41</v>
      </c>
      <c r="J1261" s="13"/>
      <c r="K1261" s="13"/>
      <c r="L1261" s="4">
        <v>15</v>
      </c>
      <c r="M1261" s="14">
        <f>41.7*(1-P3/100)</f>
        <v>41.7</v>
      </c>
      <c r="N1261" s="15"/>
      <c r="O1261" s="13">
        <f t="shared" si="43"/>
        <v>0</v>
      </c>
      <c r="P1261" s="22">
        <f>0.042*N1261</f>
        <v>0</v>
      </c>
      <c r="Q1261" s="23">
        <f>0.00014*N1261</f>
        <v>0</v>
      </c>
      <c r="R1261" s="24"/>
      <c r="S1261" s="25" t="s">
        <v>5187</v>
      </c>
      <c r="T1261" s="25" t="s">
        <v>43</v>
      </c>
      <c r="U1261" s="5"/>
      <c r="V1261" s="5"/>
      <c r="W1261" s="5" t="s">
        <v>46</v>
      </c>
      <c r="X1261" s="5"/>
      <c r="Y1261" s="5"/>
      <c r="Z1261" s="5" t="str">
        <f>HYPERLINK("https://knigipp.ru/api/getInfo/image/b895c41e-c02e-11e9-a232-ac1f6b442184")</f>
        <v>https://knigipp.ru/api/getInfo/image/b895c41e-c02e-11e9-a232-ac1f6b442184</v>
      </c>
      <c r="AA1261" s="33">
        <v>32</v>
      </c>
      <c r="AB1261" s="5"/>
      <c r="AC1261" s="5" t="s">
        <v>96</v>
      </c>
      <c r="AD1261" s="5"/>
      <c r="AE1261" s="5" t="s">
        <v>49</v>
      </c>
      <c r="AF1261" s="5"/>
      <c r="AG1261" s="5"/>
      <c r="AH1261" s="5" t="s">
        <v>5142</v>
      </c>
    </row>
    <row r="1262" spans="2:34" ht="22.95" customHeight="1" outlineLevel="3" x14ac:dyDescent="0.2">
      <c r="B1262" s="74" t="s">
        <v>5188</v>
      </c>
      <c r="C1262" s="74"/>
      <c r="D1262" s="74"/>
    </row>
    <row r="1263" spans="2:34" ht="21" customHeight="1" outlineLevel="4" x14ac:dyDescent="0.2">
      <c r="B1263" s="4">
        <v>962</v>
      </c>
      <c r="C1263" s="5" t="s">
        <v>5189</v>
      </c>
      <c r="D1263" s="5" t="s">
        <v>5190</v>
      </c>
      <c r="E1263" s="6" t="s">
        <v>5191</v>
      </c>
      <c r="F1263" s="10"/>
      <c r="G1263" s="11" t="s">
        <v>5192</v>
      </c>
      <c r="H1263" s="12">
        <v>20</v>
      </c>
      <c r="I1263" s="13" t="s">
        <v>41</v>
      </c>
      <c r="J1263" s="13"/>
      <c r="K1263" s="13"/>
      <c r="L1263" s="4">
        <v>4</v>
      </c>
      <c r="M1263" s="14">
        <f>179*(1-P3/100)</f>
        <v>179</v>
      </c>
      <c r="N1263" s="15"/>
      <c r="O1263" s="13">
        <f>M1263*N1263</f>
        <v>0</v>
      </c>
      <c r="P1263" s="22">
        <f>0.115*N1263</f>
        <v>0</v>
      </c>
      <c r="Q1263" s="23">
        <f>0.00041*N1263</f>
        <v>0</v>
      </c>
      <c r="R1263" s="24"/>
      <c r="S1263" s="25" t="s">
        <v>5193</v>
      </c>
      <c r="T1263" s="25" t="s">
        <v>43</v>
      </c>
      <c r="U1263" s="5"/>
      <c r="V1263" s="5" t="s">
        <v>5194</v>
      </c>
      <c r="W1263" s="5" t="s">
        <v>46</v>
      </c>
      <c r="X1263" s="5"/>
      <c r="Y1263" s="5"/>
      <c r="Z1263" s="5" t="str">
        <f>HYPERLINK("https://knigipp.ru/api/getInfo/image/256db2ae-612a-11ee-a245-00155d82e902")</f>
        <v>https://knigipp.ru/api/getInfo/image/256db2ae-612a-11ee-a245-00155d82e902</v>
      </c>
      <c r="AA1263" s="33">
        <v>32</v>
      </c>
      <c r="AB1263" s="5" t="s">
        <v>47</v>
      </c>
      <c r="AC1263" s="5" t="s">
        <v>48</v>
      </c>
      <c r="AD1263" s="5"/>
      <c r="AE1263" s="5" t="s">
        <v>49</v>
      </c>
      <c r="AF1263" s="5"/>
      <c r="AG1263" s="5"/>
      <c r="AH1263" s="5" t="s">
        <v>5195</v>
      </c>
    </row>
    <row r="1264" spans="2:34" ht="22.95" customHeight="1" outlineLevel="3" x14ac:dyDescent="0.2">
      <c r="B1264" s="74" t="s">
        <v>5196</v>
      </c>
      <c r="C1264" s="74"/>
      <c r="D1264" s="74"/>
    </row>
    <row r="1265" spans="2:34" ht="21" customHeight="1" outlineLevel="4" x14ac:dyDescent="0.2">
      <c r="B1265" s="4">
        <v>963</v>
      </c>
      <c r="C1265" s="5" t="s">
        <v>5197</v>
      </c>
      <c r="D1265" s="5" t="s">
        <v>5198</v>
      </c>
      <c r="E1265" s="6" t="s">
        <v>5199</v>
      </c>
      <c r="F1265" s="10"/>
      <c r="G1265" s="11" t="s">
        <v>5200</v>
      </c>
      <c r="H1265" s="12">
        <v>50</v>
      </c>
      <c r="I1265" s="13" t="s">
        <v>261</v>
      </c>
      <c r="J1265" s="13"/>
      <c r="K1265" s="13"/>
      <c r="L1265" s="4">
        <v>10</v>
      </c>
      <c r="M1265" s="14">
        <f>67*(1-P3/100)</f>
        <v>67</v>
      </c>
      <c r="N1265" s="15"/>
      <c r="O1265" s="13">
        <f>M1265*N1265</f>
        <v>0</v>
      </c>
      <c r="P1265" s="22">
        <f>0.036*N1265</f>
        <v>0</v>
      </c>
      <c r="Q1265" s="23">
        <f>0.00023*N1265</f>
        <v>0</v>
      </c>
      <c r="R1265" s="24"/>
      <c r="S1265" s="25" t="s">
        <v>5201</v>
      </c>
      <c r="T1265" s="25" t="s">
        <v>43</v>
      </c>
      <c r="U1265" s="5"/>
      <c r="V1265" s="5"/>
      <c r="W1265" s="5" t="s">
        <v>46</v>
      </c>
      <c r="X1265" s="5"/>
      <c r="Y1265" s="5"/>
      <c r="Z1265" s="5" t="str">
        <f>HYPERLINK("https://knigipp.ru/api/getInfo/image/b6855e01-7241-11ed-a22a-00155d82e902")</f>
        <v>https://knigipp.ru/api/getInfo/image/b6855e01-7241-11ed-a22a-00155d82e902</v>
      </c>
      <c r="AA1265" s="33">
        <v>14</v>
      </c>
      <c r="AB1265" s="5"/>
      <c r="AC1265" s="5" t="s">
        <v>96</v>
      </c>
      <c r="AD1265" s="5"/>
      <c r="AE1265" s="5" t="s">
        <v>49</v>
      </c>
      <c r="AF1265" s="5"/>
      <c r="AG1265" s="5"/>
      <c r="AH1265" s="5" t="s">
        <v>5202</v>
      </c>
    </row>
    <row r="1266" spans="2:34" ht="21" customHeight="1" outlineLevel="4" x14ac:dyDescent="0.2">
      <c r="B1266" s="4">
        <v>964</v>
      </c>
      <c r="C1266" s="5" t="s">
        <v>5203</v>
      </c>
      <c r="D1266" s="5" t="s">
        <v>5204</v>
      </c>
      <c r="E1266" s="6" t="s">
        <v>5205</v>
      </c>
      <c r="F1266" s="10"/>
      <c r="G1266" s="11" t="s">
        <v>5206</v>
      </c>
      <c r="H1266" s="12">
        <v>50</v>
      </c>
      <c r="I1266" s="13" t="s">
        <v>371</v>
      </c>
      <c r="J1266" s="13"/>
      <c r="K1266" s="13"/>
      <c r="L1266" s="4">
        <v>10</v>
      </c>
      <c r="M1266" s="14">
        <f>67*(1-P3/100)</f>
        <v>67</v>
      </c>
      <c r="N1266" s="15"/>
      <c r="O1266" s="13">
        <f>M1266*N1266</f>
        <v>0</v>
      </c>
      <c r="P1266" s="22">
        <f>0.039*N1266</f>
        <v>0</v>
      </c>
      <c r="Q1266" s="23">
        <f>0.00004*N1266</f>
        <v>0</v>
      </c>
      <c r="R1266" s="24"/>
      <c r="S1266" s="25" t="s">
        <v>5207</v>
      </c>
      <c r="T1266" s="25" t="s">
        <v>43</v>
      </c>
      <c r="U1266" s="5"/>
      <c r="V1266" s="5" t="s">
        <v>5208</v>
      </c>
      <c r="W1266" s="5" t="s">
        <v>46</v>
      </c>
      <c r="X1266" s="5"/>
      <c r="Y1266" s="5"/>
      <c r="Z1266" s="5" t="str">
        <f>HYPERLINK("https://knigipp.ru/api/getInfo/image/c0c6d902-4c98-11ee-a244-00155d82e902")</f>
        <v>https://knigipp.ru/api/getInfo/image/c0c6d902-4c98-11ee-a244-00155d82e902</v>
      </c>
      <c r="AA1266" s="33">
        <v>14</v>
      </c>
      <c r="AB1266" s="5" t="s">
        <v>47</v>
      </c>
      <c r="AC1266" s="5" t="s">
        <v>96</v>
      </c>
      <c r="AD1266" s="5"/>
      <c r="AE1266" s="5" t="s">
        <v>49</v>
      </c>
      <c r="AF1266" s="5"/>
      <c r="AG1266" s="5"/>
      <c r="AH1266" s="5" t="s">
        <v>5202</v>
      </c>
    </row>
    <row r="1267" spans="2:34" ht="21" customHeight="1" outlineLevel="4" x14ac:dyDescent="0.2">
      <c r="B1267" s="4">
        <v>965</v>
      </c>
      <c r="C1267" s="5" t="s">
        <v>5209</v>
      </c>
      <c r="D1267" s="5" t="s">
        <v>5210</v>
      </c>
      <c r="E1267" s="6" t="s">
        <v>5211</v>
      </c>
      <c r="F1267" s="10"/>
      <c r="G1267" s="11" t="s">
        <v>5200</v>
      </c>
      <c r="H1267" s="12">
        <v>50</v>
      </c>
      <c r="I1267" s="13" t="s">
        <v>261</v>
      </c>
      <c r="J1267" s="13"/>
      <c r="K1267" s="13"/>
      <c r="L1267" s="4">
        <v>10</v>
      </c>
      <c r="M1267" s="14">
        <f>67*(1-P3/100)</f>
        <v>67</v>
      </c>
      <c r="N1267" s="15"/>
      <c r="O1267" s="13">
        <f>M1267*N1267</f>
        <v>0</v>
      </c>
      <c r="P1267" s="22">
        <f>0.036*N1267</f>
        <v>0</v>
      </c>
      <c r="Q1267" s="23">
        <f>0.00023*N1267</f>
        <v>0</v>
      </c>
      <c r="R1267" s="24"/>
      <c r="S1267" s="25" t="s">
        <v>5212</v>
      </c>
      <c r="T1267" s="25" t="s">
        <v>43</v>
      </c>
      <c r="U1267" s="5"/>
      <c r="V1267" s="5"/>
      <c r="W1267" s="5" t="s">
        <v>46</v>
      </c>
      <c r="X1267" s="5"/>
      <c r="Y1267" s="5"/>
      <c r="Z1267" s="5" t="str">
        <f>HYPERLINK("https://knigipp.ru/api/getInfo/image/f520272d-7245-11ed-a22a-00155d82e902")</f>
        <v>https://knigipp.ru/api/getInfo/image/f520272d-7245-11ed-a22a-00155d82e902</v>
      </c>
      <c r="AA1267" s="33">
        <v>14</v>
      </c>
      <c r="AB1267" s="5" t="s">
        <v>47</v>
      </c>
      <c r="AC1267" s="5" t="s">
        <v>96</v>
      </c>
      <c r="AD1267" s="5"/>
      <c r="AE1267" s="5" t="s">
        <v>49</v>
      </c>
      <c r="AF1267" s="5"/>
      <c r="AG1267" s="5"/>
      <c r="AH1267" s="5" t="s">
        <v>5202</v>
      </c>
    </row>
    <row r="1268" spans="2:34" ht="21" customHeight="1" outlineLevel="4" x14ac:dyDescent="0.2">
      <c r="B1268" s="4">
        <v>966</v>
      </c>
      <c r="C1268" s="5" t="s">
        <v>5213</v>
      </c>
      <c r="D1268" s="5" t="s">
        <v>5214</v>
      </c>
      <c r="E1268" s="6" t="s">
        <v>5215</v>
      </c>
      <c r="F1268" s="10"/>
      <c r="G1268" s="11" t="s">
        <v>5206</v>
      </c>
      <c r="H1268" s="12">
        <v>50</v>
      </c>
      <c r="I1268" s="13" t="s">
        <v>41</v>
      </c>
      <c r="J1268" s="13"/>
      <c r="K1268" s="13"/>
      <c r="L1268" s="4">
        <v>10</v>
      </c>
      <c r="M1268" s="14">
        <f>67*(1-P3/100)</f>
        <v>67</v>
      </c>
      <c r="N1268" s="15"/>
      <c r="O1268" s="13">
        <f>M1268*N1268</f>
        <v>0</v>
      </c>
      <c r="P1268" s="32">
        <f>0.04*N1268</f>
        <v>0</v>
      </c>
      <c r="Q1268" s="23">
        <f>0.00008*N1268</f>
        <v>0</v>
      </c>
      <c r="R1268" s="24"/>
      <c r="S1268" s="25" t="s">
        <v>5216</v>
      </c>
      <c r="T1268" s="25" t="s">
        <v>43</v>
      </c>
      <c r="U1268" s="5"/>
      <c r="V1268" s="5" t="s">
        <v>5217</v>
      </c>
      <c r="W1268" s="5" t="s">
        <v>46</v>
      </c>
      <c r="X1268" s="5"/>
      <c r="Y1268" s="5"/>
      <c r="Z1268" s="5" t="str">
        <f>HYPERLINK("https://knigipp.ru/api/getInfo/image/d1c25205-4c97-11ee-a244-00155d82e902")</f>
        <v>https://knigipp.ru/api/getInfo/image/d1c25205-4c97-11ee-a244-00155d82e902</v>
      </c>
      <c r="AA1268" s="33">
        <v>14</v>
      </c>
      <c r="AB1268" s="5" t="s">
        <v>47</v>
      </c>
      <c r="AC1268" s="5" t="s">
        <v>96</v>
      </c>
      <c r="AD1268" s="5"/>
      <c r="AE1268" s="5" t="s">
        <v>49</v>
      </c>
      <c r="AF1268" s="5"/>
      <c r="AG1268" s="5"/>
      <c r="AH1268" s="5" t="s">
        <v>5202</v>
      </c>
    </row>
    <row r="1269" spans="2:34" ht="22.95" customHeight="1" outlineLevel="3" x14ac:dyDescent="0.2">
      <c r="B1269" s="74" t="s">
        <v>5218</v>
      </c>
      <c r="C1269" s="74"/>
      <c r="D1269" s="74"/>
    </row>
    <row r="1270" spans="2:34" ht="21" customHeight="1" outlineLevel="4" x14ac:dyDescent="0.2">
      <c r="B1270" s="4">
        <v>967</v>
      </c>
      <c r="C1270" s="5" t="s">
        <v>5219</v>
      </c>
      <c r="D1270" s="5" t="s">
        <v>5220</v>
      </c>
      <c r="E1270" s="6" t="s">
        <v>5221</v>
      </c>
      <c r="F1270" s="10"/>
      <c r="G1270" s="11" t="s">
        <v>5222</v>
      </c>
      <c r="H1270" s="12">
        <v>50</v>
      </c>
      <c r="I1270" s="13" t="s">
        <v>261</v>
      </c>
      <c r="J1270" s="13"/>
      <c r="K1270" s="13"/>
      <c r="L1270" s="4">
        <v>8</v>
      </c>
      <c r="M1270" s="14">
        <f>75.9*(1-P3/100)</f>
        <v>75.900000000000006</v>
      </c>
      <c r="N1270" s="15"/>
      <c r="O1270" s="13">
        <f>M1270*N1270</f>
        <v>0</v>
      </c>
      <c r="P1270" s="22">
        <f>0.066*N1270</f>
        <v>0</v>
      </c>
      <c r="Q1270" s="23">
        <f>0.00039*N1270</f>
        <v>0</v>
      </c>
      <c r="R1270" s="24"/>
      <c r="S1270" s="25" t="s">
        <v>5223</v>
      </c>
      <c r="T1270" s="25" t="s">
        <v>43</v>
      </c>
      <c r="U1270" s="5"/>
      <c r="V1270" s="5"/>
      <c r="W1270" s="5" t="s">
        <v>46</v>
      </c>
      <c r="X1270" s="5"/>
      <c r="Y1270" s="5"/>
      <c r="Z1270" s="5" t="str">
        <f>HYPERLINK("https://knigipp.ru/api/getInfo/image/50b788a9-0b19-11ec-a20e-ac1f6b442185")</f>
        <v>https://knigipp.ru/api/getInfo/image/50b788a9-0b19-11ec-a20e-ac1f6b442185</v>
      </c>
      <c r="AA1270" s="33">
        <v>16</v>
      </c>
      <c r="AB1270" s="5"/>
      <c r="AC1270" s="5" t="s">
        <v>96</v>
      </c>
      <c r="AD1270" s="5"/>
      <c r="AE1270" s="5" t="s">
        <v>49</v>
      </c>
      <c r="AF1270" s="5"/>
      <c r="AG1270" s="5"/>
      <c r="AH1270" s="5" t="s">
        <v>238</v>
      </c>
    </row>
    <row r="1271" spans="2:34" ht="21" customHeight="1" outlineLevel="4" x14ac:dyDescent="0.2">
      <c r="B1271" s="4">
        <v>968</v>
      </c>
      <c r="C1271" s="5" t="s">
        <v>5224</v>
      </c>
      <c r="D1271" s="5" t="s">
        <v>5225</v>
      </c>
      <c r="E1271" s="6" t="s">
        <v>5226</v>
      </c>
      <c r="F1271" s="10"/>
      <c r="G1271" s="11" t="s">
        <v>5222</v>
      </c>
      <c r="H1271" s="12">
        <v>50</v>
      </c>
      <c r="I1271" s="13" t="s">
        <v>371</v>
      </c>
      <c r="J1271" s="13"/>
      <c r="K1271" s="13"/>
      <c r="L1271" s="4">
        <v>8</v>
      </c>
      <c r="M1271" s="14">
        <f>75.9*(1-P3/100)</f>
        <v>75.900000000000006</v>
      </c>
      <c r="N1271" s="15"/>
      <c r="O1271" s="13">
        <f>M1271*N1271</f>
        <v>0</v>
      </c>
      <c r="P1271" s="13">
        <v>0</v>
      </c>
      <c r="Q1271" s="13">
        <v>0</v>
      </c>
      <c r="R1271" s="24"/>
      <c r="S1271" s="25" t="s">
        <v>5227</v>
      </c>
      <c r="T1271" s="25" t="s">
        <v>43</v>
      </c>
      <c r="U1271" s="5"/>
      <c r="V1271" s="5"/>
      <c r="W1271" s="5" t="s">
        <v>46</v>
      </c>
      <c r="X1271" s="5"/>
      <c r="Y1271" s="5"/>
      <c r="Z1271" s="5" t="str">
        <f>HYPERLINK("https://knigipp.ru/api/getInfo/image/9b2136eb-0b19-11ec-a20e-ac1f6b442185")</f>
        <v>https://knigipp.ru/api/getInfo/image/9b2136eb-0b19-11ec-a20e-ac1f6b442185</v>
      </c>
      <c r="AA1271" s="33">
        <v>16</v>
      </c>
      <c r="AB1271" s="5"/>
      <c r="AC1271" s="5" t="s">
        <v>96</v>
      </c>
      <c r="AD1271" s="5"/>
      <c r="AE1271" s="5" t="s">
        <v>49</v>
      </c>
      <c r="AF1271" s="5"/>
      <c r="AG1271" s="5"/>
      <c r="AH1271" s="5" t="s">
        <v>238</v>
      </c>
    </row>
    <row r="1272" spans="2:34" ht="21" customHeight="1" outlineLevel="4" x14ac:dyDescent="0.2">
      <c r="B1272" s="4">
        <v>969</v>
      </c>
      <c r="C1272" s="5" t="s">
        <v>5228</v>
      </c>
      <c r="D1272" s="5" t="s">
        <v>5229</v>
      </c>
      <c r="E1272" s="6" t="s">
        <v>5230</v>
      </c>
      <c r="F1272" s="10"/>
      <c r="G1272" s="11" t="s">
        <v>5222</v>
      </c>
      <c r="H1272" s="12">
        <v>50</v>
      </c>
      <c r="I1272" s="13" t="s">
        <v>41</v>
      </c>
      <c r="J1272" s="13"/>
      <c r="K1272" s="13"/>
      <c r="L1272" s="4">
        <v>8</v>
      </c>
      <c r="M1272" s="14">
        <f>75.9*(1-P3/100)</f>
        <v>75.900000000000006</v>
      </c>
      <c r="N1272" s="15"/>
      <c r="O1272" s="13">
        <f>M1272*N1272</f>
        <v>0</v>
      </c>
      <c r="P1272" s="13">
        <v>0</v>
      </c>
      <c r="Q1272" s="13">
        <v>0</v>
      </c>
      <c r="R1272" s="24"/>
      <c r="S1272" s="25" t="s">
        <v>5231</v>
      </c>
      <c r="T1272" s="25" t="s">
        <v>43</v>
      </c>
      <c r="U1272" s="5"/>
      <c r="V1272" s="5"/>
      <c r="W1272" s="5" t="s">
        <v>46</v>
      </c>
      <c r="X1272" s="5"/>
      <c r="Y1272" s="5"/>
      <c r="Z1272" s="5" t="str">
        <f>HYPERLINK("https://knigipp.ru/api/getInfo/image/47c1bf46-0b17-11ec-a20e-ac1f6b442185")</f>
        <v>https://knigipp.ru/api/getInfo/image/47c1bf46-0b17-11ec-a20e-ac1f6b442185</v>
      </c>
      <c r="AA1272" s="33">
        <v>16</v>
      </c>
      <c r="AB1272" s="5"/>
      <c r="AC1272" s="5" t="s">
        <v>96</v>
      </c>
      <c r="AD1272" s="5"/>
      <c r="AE1272" s="5" t="s">
        <v>49</v>
      </c>
      <c r="AF1272" s="5"/>
      <c r="AG1272" s="5"/>
      <c r="AH1272" s="5" t="s">
        <v>238</v>
      </c>
    </row>
    <row r="1273" spans="2:34" ht="22.95" customHeight="1" outlineLevel="3" x14ac:dyDescent="0.2">
      <c r="B1273" s="74" t="s">
        <v>5232</v>
      </c>
      <c r="C1273" s="74"/>
      <c r="D1273" s="74"/>
    </row>
    <row r="1274" spans="2:34" ht="21" customHeight="1" outlineLevel="4" x14ac:dyDescent="0.2">
      <c r="B1274" s="4">
        <v>970</v>
      </c>
      <c r="C1274" s="5" t="s">
        <v>5233</v>
      </c>
      <c r="D1274" s="5" t="s">
        <v>5234</v>
      </c>
      <c r="E1274" s="6" t="s">
        <v>5235</v>
      </c>
      <c r="F1274" s="10"/>
      <c r="G1274" s="11" t="s">
        <v>5236</v>
      </c>
      <c r="H1274" s="12">
        <v>20</v>
      </c>
      <c r="I1274" s="13" t="s">
        <v>41</v>
      </c>
      <c r="J1274" s="13"/>
      <c r="K1274" s="13"/>
      <c r="L1274" s="4">
        <v>4</v>
      </c>
      <c r="M1274" s="14">
        <f>149*(1-P3/100)</f>
        <v>149</v>
      </c>
      <c r="N1274" s="15"/>
      <c r="O1274" s="13">
        <f t="shared" ref="O1274:O1285" si="46">M1274*N1274</f>
        <v>0</v>
      </c>
      <c r="P1274" s="13">
        <v>0</v>
      </c>
      <c r="Q1274" s="13">
        <v>0</v>
      </c>
      <c r="R1274" s="24"/>
      <c r="S1274" s="25" t="s">
        <v>5237</v>
      </c>
      <c r="T1274" s="25" t="s">
        <v>43</v>
      </c>
      <c r="U1274" s="5"/>
      <c r="V1274" s="5"/>
      <c r="W1274" s="5" t="s">
        <v>46</v>
      </c>
      <c r="X1274" s="5"/>
      <c r="Y1274" s="5"/>
      <c r="Z1274" s="5" t="str">
        <f>HYPERLINK("https://knigipp.ru/api/getInfo/image/571815a4-6698-11ee-a245-00155d82e902")</f>
        <v>https://knigipp.ru/api/getInfo/image/571815a4-6698-11ee-a245-00155d82e902</v>
      </c>
      <c r="AA1274" s="33">
        <v>16</v>
      </c>
      <c r="AB1274" s="5"/>
      <c r="AC1274" s="5" t="s">
        <v>3375</v>
      </c>
      <c r="AD1274" s="5"/>
      <c r="AE1274" s="5" t="s">
        <v>49</v>
      </c>
      <c r="AF1274" s="5"/>
      <c r="AG1274" s="5"/>
      <c r="AH1274" s="5" t="s">
        <v>5238</v>
      </c>
    </row>
    <row r="1275" spans="2:34" ht="21" customHeight="1" outlineLevel="4" x14ac:dyDescent="0.2">
      <c r="B1275" s="4">
        <v>971</v>
      </c>
      <c r="C1275" s="5" t="s">
        <v>5239</v>
      </c>
      <c r="D1275" s="5" t="s">
        <v>5240</v>
      </c>
      <c r="E1275" s="6" t="s">
        <v>5241</v>
      </c>
      <c r="F1275" s="10"/>
      <c r="G1275" s="11" t="s">
        <v>5236</v>
      </c>
      <c r="H1275" s="12">
        <v>20</v>
      </c>
      <c r="I1275" s="13" t="s">
        <v>41</v>
      </c>
      <c r="J1275" s="13"/>
      <c r="K1275" s="13"/>
      <c r="L1275" s="4">
        <v>4</v>
      </c>
      <c r="M1275" s="14">
        <f>149*(1-P3/100)</f>
        <v>149</v>
      </c>
      <c r="N1275" s="15"/>
      <c r="O1275" s="13">
        <f t="shared" si="46"/>
        <v>0</v>
      </c>
      <c r="P1275" s="13">
        <v>0</v>
      </c>
      <c r="Q1275" s="13">
        <v>0</v>
      </c>
      <c r="R1275" s="24"/>
      <c r="S1275" s="25" t="s">
        <v>5242</v>
      </c>
      <c r="T1275" s="25" t="s">
        <v>43</v>
      </c>
      <c r="U1275" s="5"/>
      <c r="V1275" s="5"/>
      <c r="W1275" s="5" t="s">
        <v>46</v>
      </c>
      <c r="X1275" s="5"/>
      <c r="Y1275" s="5"/>
      <c r="Z1275" s="5" t="str">
        <f>HYPERLINK("https://knigipp.ru/api/getInfo/image/6e7ef60c-6699-11ee-a245-00155d82e902")</f>
        <v>https://knigipp.ru/api/getInfo/image/6e7ef60c-6699-11ee-a245-00155d82e902</v>
      </c>
      <c r="AA1275" s="33">
        <v>16</v>
      </c>
      <c r="AB1275" s="5"/>
      <c r="AC1275" s="5" t="s">
        <v>3375</v>
      </c>
      <c r="AD1275" s="5"/>
      <c r="AE1275" s="5" t="s">
        <v>49</v>
      </c>
      <c r="AF1275" s="5"/>
      <c r="AG1275" s="5"/>
      <c r="AH1275" s="5" t="s">
        <v>5238</v>
      </c>
    </row>
    <row r="1276" spans="2:34" ht="21" customHeight="1" outlineLevel="4" x14ac:dyDescent="0.2">
      <c r="B1276" s="4">
        <v>972</v>
      </c>
      <c r="C1276" s="5" t="s">
        <v>5243</v>
      </c>
      <c r="D1276" s="5" t="s">
        <v>5244</v>
      </c>
      <c r="E1276" s="6" t="s">
        <v>5245</v>
      </c>
      <c r="F1276" s="10"/>
      <c r="G1276" s="11" t="s">
        <v>5236</v>
      </c>
      <c r="H1276" s="12">
        <v>20</v>
      </c>
      <c r="I1276" s="13" t="s">
        <v>41</v>
      </c>
      <c r="J1276" s="13"/>
      <c r="K1276" s="13"/>
      <c r="L1276" s="4">
        <v>4</v>
      </c>
      <c r="M1276" s="14">
        <f>149*(1-P3/100)</f>
        <v>149</v>
      </c>
      <c r="N1276" s="15"/>
      <c r="O1276" s="13">
        <f t="shared" si="46"/>
        <v>0</v>
      </c>
      <c r="P1276" s="13">
        <v>0</v>
      </c>
      <c r="Q1276" s="13">
        <v>0</v>
      </c>
      <c r="R1276" s="24"/>
      <c r="S1276" s="25" t="s">
        <v>5246</v>
      </c>
      <c r="T1276" s="25" t="s">
        <v>43</v>
      </c>
      <c r="U1276" s="5" t="s">
        <v>5247</v>
      </c>
      <c r="V1276" s="5"/>
      <c r="W1276" s="5" t="s">
        <v>46</v>
      </c>
      <c r="X1276" s="5"/>
      <c r="Y1276" s="5"/>
      <c r="Z1276" s="5" t="str">
        <f>HYPERLINK("https://knigipp.ru/api/getInfo/image/cd5d3ff8-6698-11ee-a245-00155d82e902")</f>
        <v>https://knigipp.ru/api/getInfo/image/cd5d3ff8-6698-11ee-a245-00155d82e902</v>
      </c>
      <c r="AA1276" s="33">
        <v>16</v>
      </c>
      <c r="AB1276" s="5"/>
      <c r="AC1276" s="5" t="s">
        <v>3375</v>
      </c>
      <c r="AD1276" s="5"/>
      <c r="AE1276" s="5" t="s">
        <v>49</v>
      </c>
      <c r="AF1276" s="5"/>
      <c r="AG1276" s="5"/>
      <c r="AH1276" s="5" t="s">
        <v>5238</v>
      </c>
    </row>
    <row r="1277" spans="2:34" ht="21" customHeight="1" outlineLevel="4" x14ac:dyDescent="0.2">
      <c r="B1277" s="4">
        <v>973</v>
      </c>
      <c r="C1277" s="5" t="s">
        <v>5248</v>
      </c>
      <c r="D1277" s="5" t="s">
        <v>5249</v>
      </c>
      <c r="E1277" s="6" t="s">
        <v>5250</v>
      </c>
      <c r="F1277" s="10"/>
      <c r="G1277" s="11" t="s">
        <v>5236</v>
      </c>
      <c r="H1277" s="12">
        <v>20</v>
      </c>
      <c r="I1277" s="13" t="s">
        <v>41</v>
      </c>
      <c r="J1277" s="13"/>
      <c r="K1277" s="13"/>
      <c r="L1277" s="4">
        <v>4</v>
      </c>
      <c r="M1277" s="14">
        <f>149*(1-P3/100)</f>
        <v>149</v>
      </c>
      <c r="N1277" s="15"/>
      <c r="O1277" s="13">
        <f t="shared" si="46"/>
        <v>0</v>
      </c>
      <c r="P1277" s="13">
        <v>0</v>
      </c>
      <c r="Q1277" s="13">
        <v>0</v>
      </c>
      <c r="R1277" s="24"/>
      <c r="S1277" s="25" t="s">
        <v>5251</v>
      </c>
      <c r="T1277" s="25" t="s">
        <v>43</v>
      </c>
      <c r="U1277" s="5" t="s">
        <v>5252</v>
      </c>
      <c r="V1277" s="5"/>
      <c r="W1277" s="5" t="s">
        <v>46</v>
      </c>
      <c r="X1277" s="5"/>
      <c r="Y1277" s="5"/>
      <c r="Z1277" s="5" t="str">
        <f>HYPERLINK("https://knigipp.ru/api/getInfo/image/19102c75-6699-11ee-a245-00155d82e902")</f>
        <v>https://knigipp.ru/api/getInfo/image/19102c75-6699-11ee-a245-00155d82e902</v>
      </c>
      <c r="AA1277" s="33">
        <v>16</v>
      </c>
      <c r="AB1277" s="5"/>
      <c r="AC1277" s="5" t="s">
        <v>3375</v>
      </c>
      <c r="AD1277" s="5"/>
      <c r="AE1277" s="5" t="s">
        <v>49</v>
      </c>
      <c r="AF1277" s="5"/>
      <c r="AG1277" s="5"/>
      <c r="AH1277" s="5" t="s">
        <v>5238</v>
      </c>
    </row>
    <row r="1278" spans="2:34" ht="21" customHeight="1" outlineLevel="4" x14ac:dyDescent="0.2">
      <c r="B1278" s="4">
        <v>974</v>
      </c>
      <c r="C1278" s="5" t="s">
        <v>5253</v>
      </c>
      <c r="D1278" s="5" t="s">
        <v>5254</v>
      </c>
      <c r="E1278" s="6" t="s">
        <v>5255</v>
      </c>
      <c r="F1278" s="10"/>
      <c r="G1278" s="11" t="s">
        <v>5236</v>
      </c>
      <c r="H1278" s="12">
        <v>20</v>
      </c>
      <c r="I1278" s="13" t="s">
        <v>41</v>
      </c>
      <c r="J1278" s="13"/>
      <c r="K1278" s="13"/>
      <c r="L1278" s="4">
        <v>4</v>
      </c>
      <c r="M1278" s="14">
        <f>149*(1-P3/100)</f>
        <v>149</v>
      </c>
      <c r="N1278" s="15"/>
      <c r="O1278" s="13">
        <f t="shared" si="46"/>
        <v>0</v>
      </c>
      <c r="P1278" s="13">
        <v>0</v>
      </c>
      <c r="Q1278" s="13">
        <v>0</v>
      </c>
      <c r="R1278" s="24"/>
      <c r="S1278" s="25" t="s">
        <v>5256</v>
      </c>
      <c r="T1278" s="25" t="s">
        <v>43</v>
      </c>
      <c r="U1278" s="5" t="s">
        <v>5247</v>
      </c>
      <c r="V1278" s="5"/>
      <c r="W1278" s="5" t="s">
        <v>46</v>
      </c>
      <c r="X1278" s="5"/>
      <c r="Y1278" s="5"/>
      <c r="Z1278" s="5" t="str">
        <f>HYPERLINK("https://knigipp.ru/api/getInfo/image/4b0a2988-6699-11ee-a245-00155d82e902")</f>
        <v>https://knigipp.ru/api/getInfo/image/4b0a2988-6699-11ee-a245-00155d82e902</v>
      </c>
      <c r="AA1278" s="33">
        <v>16</v>
      </c>
      <c r="AB1278" s="5"/>
      <c r="AC1278" s="5" t="s">
        <v>3375</v>
      </c>
      <c r="AD1278" s="5"/>
      <c r="AE1278" s="5" t="s">
        <v>49</v>
      </c>
      <c r="AF1278" s="5"/>
      <c r="AG1278" s="5"/>
      <c r="AH1278" s="5" t="s">
        <v>5238</v>
      </c>
    </row>
    <row r="1279" spans="2:34" ht="21" customHeight="1" outlineLevel="4" x14ac:dyDescent="0.2">
      <c r="B1279" s="4">
        <v>975</v>
      </c>
      <c r="C1279" s="5" t="s">
        <v>5257</v>
      </c>
      <c r="D1279" s="5" t="s">
        <v>5258</v>
      </c>
      <c r="E1279" s="6" t="s">
        <v>5259</v>
      </c>
      <c r="F1279" s="10"/>
      <c r="G1279" s="11" t="s">
        <v>5236</v>
      </c>
      <c r="H1279" s="12">
        <v>20</v>
      </c>
      <c r="I1279" s="13" t="s">
        <v>41</v>
      </c>
      <c r="J1279" s="13"/>
      <c r="K1279" s="13"/>
      <c r="L1279" s="4">
        <v>4</v>
      </c>
      <c r="M1279" s="14">
        <f>149*(1-P3/100)</f>
        <v>149</v>
      </c>
      <c r="N1279" s="15"/>
      <c r="O1279" s="13">
        <f t="shared" si="46"/>
        <v>0</v>
      </c>
      <c r="P1279" s="13">
        <v>0</v>
      </c>
      <c r="Q1279" s="13">
        <v>0</v>
      </c>
      <c r="R1279" s="24"/>
      <c r="S1279" s="25" t="s">
        <v>5260</v>
      </c>
      <c r="T1279" s="25" t="s">
        <v>43</v>
      </c>
      <c r="U1279" s="5" t="s">
        <v>5261</v>
      </c>
      <c r="V1279" s="5"/>
      <c r="W1279" s="5" t="s">
        <v>46</v>
      </c>
      <c r="X1279" s="5"/>
      <c r="Y1279" s="5"/>
      <c r="Z1279" s="5" t="str">
        <f>HYPERLINK("https://knigipp.ru/api/getInfo/image/a164df3f-6699-11ee-a245-00155d82e902")</f>
        <v>https://knigipp.ru/api/getInfo/image/a164df3f-6699-11ee-a245-00155d82e902</v>
      </c>
      <c r="AA1279" s="33">
        <v>16</v>
      </c>
      <c r="AB1279" s="5"/>
      <c r="AC1279" s="5" t="s">
        <v>3375</v>
      </c>
      <c r="AD1279" s="5"/>
      <c r="AE1279" s="5" t="s">
        <v>49</v>
      </c>
      <c r="AF1279" s="5"/>
      <c r="AG1279" s="5"/>
      <c r="AH1279" s="5" t="s">
        <v>5238</v>
      </c>
    </row>
    <row r="1280" spans="2:34" ht="21" customHeight="1" outlineLevel="4" x14ac:dyDescent="0.2">
      <c r="B1280" s="4">
        <v>976</v>
      </c>
      <c r="C1280" s="5" t="s">
        <v>5262</v>
      </c>
      <c r="D1280" s="5" t="s">
        <v>5263</v>
      </c>
      <c r="E1280" s="6" t="s">
        <v>5264</v>
      </c>
      <c r="F1280" s="10"/>
      <c r="G1280" s="11" t="s">
        <v>5236</v>
      </c>
      <c r="H1280" s="12">
        <v>20</v>
      </c>
      <c r="I1280" s="13" t="s">
        <v>41</v>
      </c>
      <c r="J1280" s="13"/>
      <c r="K1280" s="13"/>
      <c r="L1280" s="4">
        <v>4</v>
      </c>
      <c r="M1280" s="14">
        <f>149*(1-P3/100)</f>
        <v>149</v>
      </c>
      <c r="N1280" s="15"/>
      <c r="O1280" s="13">
        <f t="shared" si="46"/>
        <v>0</v>
      </c>
      <c r="P1280" s="22">
        <f>0.135*N1280</f>
        <v>0</v>
      </c>
      <c r="Q1280" s="23">
        <f>0.00019*N1280</f>
        <v>0</v>
      </c>
      <c r="R1280" s="24"/>
      <c r="S1280" s="25" t="s">
        <v>5265</v>
      </c>
      <c r="T1280" s="25" t="s">
        <v>43</v>
      </c>
      <c r="U1280" s="5" t="s">
        <v>5266</v>
      </c>
      <c r="V1280" s="5"/>
      <c r="W1280" s="5" t="s">
        <v>46</v>
      </c>
      <c r="X1280" s="5"/>
      <c r="Y1280" s="5"/>
      <c r="Z1280" s="5" t="str">
        <f>HYPERLINK("https://knigipp.ru/api/getInfo/image/0239be98-669a-11ee-a245-00155d82e902")</f>
        <v>https://knigipp.ru/api/getInfo/image/0239be98-669a-11ee-a245-00155d82e902</v>
      </c>
      <c r="AA1280" s="33">
        <v>16</v>
      </c>
      <c r="AB1280" s="5"/>
      <c r="AC1280" s="5" t="s">
        <v>3375</v>
      </c>
      <c r="AD1280" s="5"/>
      <c r="AE1280" s="5" t="s">
        <v>49</v>
      </c>
      <c r="AF1280" s="5"/>
      <c r="AG1280" s="5"/>
      <c r="AH1280" s="5" t="s">
        <v>5238</v>
      </c>
    </row>
    <row r="1281" spans="2:35" ht="21" customHeight="1" outlineLevel="4" x14ac:dyDescent="0.2">
      <c r="B1281" s="4">
        <v>977</v>
      </c>
      <c r="C1281" s="5" t="s">
        <v>5267</v>
      </c>
      <c r="D1281" s="5" t="s">
        <v>5268</v>
      </c>
      <c r="E1281" s="6" t="s">
        <v>5269</v>
      </c>
      <c r="F1281" s="10"/>
      <c r="G1281" s="11" t="s">
        <v>5236</v>
      </c>
      <c r="H1281" s="12">
        <v>20</v>
      </c>
      <c r="I1281" s="13" t="s">
        <v>41</v>
      </c>
      <c r="J1281" s="13"/>
      <c r="K1281" s="13"/>
      <c r="L1281" s="4">
        <v>4</v>
      </c>
      <c r="M1281" s="14">
        <f>149*(1-P3/100)</f>
        <v>149</v>
      </c>
      <c r="N1281" s="15"/>
      <c r="O1281" s="13">
        <f t="shared" si="46"/>
        <v>0</v>
      </c>
      <c r="P1281" s="13">
        <v>0</v>
      </c>
      <c r="Q1281" s="13">
        <v>0</v>
      </c>
      <c r="R1281" s="24"/>
      <c r="S1281" s="25" t="s">
        <v>5270</v>
      </c>
      <c r="T1281" s="25" t="s">
        <v>43</v>
      </c>
      <c r="U1281" s="5" t="s">
        <v>5271</v>
      </c>
      <c r="V1281" s="5"/>
      <c r="W1281" s="5" t="s">
        <v>46</v>
      </c>
      <c r="X1281" s="5"/>
      <c r="Y1281" s="5"/>
      <c r="Z1281" s="5" t="str">
        <f>HYPERLINK("https://knigipp.ru/api/getInfo/image/f422bd8f-6698-11ee-a245-00155d82e902")</f>
        <v>https://knigipp.ru/api/getInfo/image/f422bd8f-6698-11ee-a245-00155d82e902</v>
      </c>
      <c r="AA1281" s="33">
        <v>16</v>
      </c>
      <c r="AB1281" s="5"/>
      <c r="AC1281" s="5" t="s">
        <v>3375</v>
      </c>
      <c r="AD1281" s="5"/>
      <c r="AE1281" s="5" t="s">
        <v>49</v>
      </c>
      <c r="AF1281" s="5"/>
      <c r="AG1281" s="5"/>
      <c r="AH1281" s="5" t="s">
        <v>5238</v>
      </c>
    </row>
    <row r="1282" spans="2:35" ht="21" customHeight="1" outlineLevel="4" x14ac:dyDescent="0.2">
      <c r="B1282" s="4">
        <v>978</v>
      </c>
      <c r="C1282" s="5" t="s">
        <v>5272</v>
      </c>
      <c r="D1282" s="5" t="s">
        <v>5273</v>
      </c>
      <c r="E1282" s="6" t="s">
        <v>5274</v>
      </c>
      <c r="F1282" s="10"/>
      <c r="G1282" s="11" t="s">
        <v>5236</v>
      </c>
      <c r="H1282" s="12">
        <v>20</v>
      </c>
      <c r="I1282" s="13" t="s">
        <v>41</v>
      </c>
      <c r="J1282" s="13"/>
      <c r="K1282" s="13"/>
      <c r="L1282" s="4">
        <v>4</v>
      </c>
      <c r="M1282" s="14">
        <f>149*(1-P3/100)</f>
        <v>149</v>
      </c>
      <c r="N1282" s="15"/>
      <c r="O1282" s="13">
        <f t="shared" si="46"/>
        <v>0</v>
      </c>
      <c r="P1282" s="13">
        <v>0</v>
      </c>
      <c r="Q1282" s="13">
        <v>0</v>
      </c>
      <c r="R1282" s="24"/>
      <c r="S1282" s="25" t="s">
        <v>5275</v>
      </c>
      <c r="T1282" s="25" t="s">
        <v>43</v>
      </c>
      <c r="U1282" s="5" t="s">
        <v>5252</v>
      </c>
      <c r="V1282" s="5"/>
      <c r="W1282" s="5" t="s">
        <v>46</v>
      </c>
      <c r="X1282" s="5"/>
      <c r="Y1282" s="5"/>
      <c r="Z1282" s="5" t="str">
        <f>HYPERLINK("https://knigipp.ru/api/getInfo/image/c1d9efe7-6699-11ee-a245-00155d82e902")</f>
        <v>https://knigipp.ru/api/getInfo/image/c1d9efe7-6699-11ee-a245-00155d82e902</v>
      </c>
      <c r="AA1282" s="33">
        <v>16</v>
      </c>
      <c r="AB1282" s="5"/>
      <c r="AC1282" s="5" t="s">
        <v>3375</v>
      </c>
      <c r="AD1282" s="5"/>
      <c r="AE1282" s="5" t="s">
        <v>49</v>
      </c>
      <c r="AF1282" s="5"/>
      <c r="AG1282" s="5"/>
      <c r="AH1282" s="5" t="s">
        <v>5238</v>
      </c>
    </row>
    <row r="1283" spans="2:35" ht="21" customHeight="1" outlineLevel="4" x14ac:dyDescent="0.2">
      <c r="B1283" s="4">
        <v>979</v>
      </c>
      <c r="C1283" s="5" t="s">
        <v>5276</v>
      </c>
      <c r="D1283" s="5" t="s">
        <v>5277</v>
      </c>
      <c r="E1283" s="6" t="s">
        <v>5278</v>
      </c>
      <c r="F1283" s="10"/>
      <c r="G1283" s="11" t="s">
        <v>5236</v>
      </c>
      <c r="H1283" s="12">
        <v>20</v>
      </c>
      <c r="I1283" s="13" t="s">
        <v>41</v>
      </c>
      <c r="J1283" s="13"/>
      <c r="K1283" s="13"/>
      <c r="L1283" s="4">
        <v>4</v>
      </c>
      <c r="M1283" s="14">
        <f>149*(1-P3/100)</f>
        <v>149</v>
      </c>
      <c r="N1283" s="15"/>
      <c r="O1283" s="13">
        <f t="shared" si="46"/>
        <v>0</v>
      </c>
      <c r="P1283" s="13">
        <v>0</v>
      </c>
      <c r="Q1283" s="13">
        <v>0</v>
      </c>
      <c r="R1283" s="24"/>
      <c r="S1283" s="25" t="s">
        <v>5279</v>
      </c>
      <c r="T1283" s="25" t="s">
        <v>43</v>
      </c>
      <c r="U1283" s="5" t="s">
        <v>5280</v>
      </c>
      <c r="V1283" s="5"/>
      <c r="W1283" s="5" t="s">
        <v>46</v>
      </c>
      <c r="X1283" s="5"/>
      <c r="Y1283" s="5"/>
      <c r="Z1283" s="5" t="str">
        <f>HYPERLINK("https://knigipp.ru/api/getInfo/image/de48fefa-6699-11ee-a245-00155d82e902")</f>
        <v>https://knigipp.ru/api/getInfo/image/de48fefa-6699-11ee-a245-00155d82e902</v>
      </c>
      <c r="AA1283" s="33">
        <v>16</v>
      </c>
      <c r="AB1283" s="5"/>
      <c r="AC1283" s="5" t="s">
        <v>3375</v>
      </c>
      <c r="AD1283" s="5"/>
      <c r="AE1283" s="5" t="s">
        <v>49</v>
      </c>
      <c r="AF1283" s="5"/>
      <c r="AG1283" s="5"/>
      <c r="AH1283" s="5" t="s">
        <v>5238</v>
      </c>
    </row>
    <row r="1284" spans="2:35" ht="21" customHeight="1" outlineLevel="4" x14ac:dyDescent="0.2">
      <c r="B1284" s="4">
        <v>980</v>
      </c>
      <c r="C1284" s="5" t="s">
        <v>5281</v>
      </c>
      <c r="D1284" s="5" t="s">
        <v>5282</v>
      </c>
      <c r="E1284" s="6" t="s">
        <v>5283</v>
      </c>
      <c r="F1284" s="10"/>
      <c r="G1284" s="11" t="s">
        <v>5236</v>
      </c>
      <c r="H1284" s="12">
        <v>20</v>
      </c>
      <c r="I1284" s="13" t="s">
        <v>41</v>
      </c>
      <c r="J1284" s="13"/>
      <c r="K1284" s="13"/>
      <c r="L1284" s="4">
        <v>4</v>
      </c>
      <c r="M1284" s="14">
        <f>149*(1-P3/100)</f>
        <v>149</v>
      </c>
      <c r="N1284" s="15"/>
      <c r="O1284" s="13">
        <f t="shared" si="46"/>
        <v>0</v>
      </c>
      <c r="P1284" s="13">
        <v>0</v>
      </c>
      <c r="Q1284" s="13">
        <v>0</v>
      </c>
      <c r="R1284" s="24"/>
      <c r="S1284" s="25" t="s">
        <v>5284</v>
      </c>
      <c r="T1284" s="25" t="s">
        <v>43</v>
      </c>
      <c r="U1284" s="5" t="s">
        <v>5271</v>
      </c>
      <c r="V1284" s="5"/>
      <c r="W1284" s="5" t="s">
        <v>46</v>
      </c>
      <c r="X1284" s="5"/>
      <c r="Y1284" s="5"/>
      <c r="Z1284" s="5" t="str">
        <f>HYPERLINK("https://knigipp.ru/api/getInfo/image/ab934f46-6698-11ee-a245-00155d82e902")</f>
        <v>https://knigipp.ru/api/getInfo/image/ab934f46-6698-11ee-a245-00155d82e902</v>
      </c>
      <c r="AA1284" s="33">
        <v>16</v>
      </c>
      <c r="AB1284" s="5"/>
      <c r="AC1284" s="5" t="s">
        <v>3375</v>
      </c>
      <c r="AD1284" s="5"/>
      <c r="AE1284" s="5" t="s">
        <v>49</v>
      </c>
      <c r="AF1284" s="5"/>
      <c r="AG1284" s="5"/>
      <c r="AH1284" s="5" t="s">
        <v>5238</v>
      </c>
    </row>
    <row r="1285" spans="2:35" ht="21" customHeight="1" outlineLevel="4" x14ac:dyDescent="0.2">
      <c r="B1285" s="4">
        <v>981</v>
      </c>
      <c r="C1285" s="5" t="s">
        <v>5285</v>
      </c>
      <c r="D1285" s="5" t="s">
        <v>5286</v>
      </c>
      <c r="E1285" s="6" t="s">
        <v>5287</v>
      </c>
      <c r="F1285" s="10"/>
      <c r="G1285" s="11" t="s">
        <v>5236</v>
      </c>
      <c r="H1285" s="12">
        <v>20</v>
      </c>
      <c r="I1285" s="13" t="s">
        <v>41</v>
      </c>
      <c r="J1285" s="13"/>
      <c r="K1285" s="13"/>
      <c r="L1285" s="4">
        <v>4</v>
      </c>
      <c r="M1285" s="14">
        <f>149*(1-P3/100)</f>
        <v>149</v>
      </c>
      <c r="N1285" s="15"/>
      <c r="O1285" s="13">
        <f t="shared" si="46"/>
        <v>0</v>
      </c>
      <c r="P1285" s="13">
        <v>0</v>
      </c>
      <c r="Q1285" s="13">
        <v>0</v>
      </c>
      <c r="R1285" s="24"/>
      <c r="S1285" s="25" t="s">
        <v>5288</v>
      </c>
      <c r="T1285" s="25" t="s">
        <v>43</v>
      </c>
      <c r="U1285" s="5"/>
      <c r="V1285" s="5"/>
      <c r="W1285" s="5" t="s">
        <v>46</v>
      </c>
      <c r="X1285" s="5"/>
      <c r="Y1285" s="5"/>
      <c r="Z1285" s="5" t="str">
        <f>HYPERLINK("https://knigipp.ru/api/getInfo/image/80d3c26b-6698-11ee-a245-00155d82e902")</f>
        <v>https://knigipp.ru/api/getInfo/image/80d3c26b-6698-11ee-a245-00155d82e902</v>
      </c>
      <c r="AA1285" s="33">
        <v>16</v>
      </c>
      <c r="AB1285" s="5"/>
      <c r="AC1285" s="5" t="s">
        <v>3375</v>
      </c>
      <c r="AD1285" s="5"/>
      <c r="AE1285" s="5" t="s">
        <v>49</v>
      </c>
      <c r="AF1285" s="5"/>
      <c r="AG1285" s="5"/>
      <c r="AH1285" s="5" t="s">
        <v>5238</v>
      </c>
    </row>
    <row r="1286" spans="2:35" ht="22.95" customHeight="1" outlineLevel="3" x14ac:dyDescent="0.2">
      <c r="B1286" s="74" t="s">
        <v>5289</v>
      </c>
      <c r="C1286" s="74"/>
      <c r="D1286" s="74"/>
    </row>
    <row r="1287" spans="2:35" ht="21" customHeight="1" outlineLevel="4" x14ac:dyDescent="0.2">
      <c r="B1287" s="39">
        <v>982</v>
      </c>
      <c r="C1287" s="40" t="s">
        <v>5290</v>
      </c>
      <c r="D1287" s="40" t="s">
        <v>5291</v>
      </c>
      <c r="E1287" s="41" t="s">
        <v>5292</v>
      </c>
      <c r="F1287" s="44"/>
      <c r="G1287" s="45" t="s">
        <v>5293</v>
      </c>
      <c r="H1287" s="46">
        <v>50</v>
      </c>
      <c r="I1287" s="47" t="s">
        <v>261</v>
      </c>
      <c r="J1287" s="47"/>
      <c r="K1287" s="47"/>
      <c r="L1287" s="39">
        <v>20</v>
      </c>
      <c r="M1287" s="48">
        <v>24</v>
      </c>
      <c r="N1287" s="15"/>
      <c r="O1287" s="47">
        <f>M1287*N1287</f>
        <v>0</v>
      </c>
      <c r="P1287" s="49">
        <f>0.08*N1287</f>
        <v>0</v>
      </c>
      <c r="Q1287" s="50">
        <f>0.00009*N1287</f>
        <v>0</v>
      </c>
      <c r="R1287" s="51"/>
      <c r="S1287" s="52" t="s">
        <v>5294</v>
      </c>
      <c r="T1287" s="52" t="s">
        <v>94</v>
      </c>
      <c r="U1287" s="40"/>
      <c r="V1287" s="40"/>
      <c r="W1287" s="40" t="s">
        <v>46</v>
      </c>
      <c r="X1287" s="40" t="s">
        <v>5295</v>
      </c>
      <c r="Y1287" s="40"/>
      <c r="Z1287" s="40" t="str">
        <f>HYPERLINK("https://knigipp.ru/api/getInfo/image/56e1bee5-af33-11e3-a18c-5cf3fc4a2490")</f>
        <v>https://knigipp.ru/api/getInfo/image/56e1bee5-af33-11e3-a18c-5cf3fc4a2490</v>
      </c>
      <c r="AA1287" s="53">
        <v>1</v>
      </c>
      <c r="AB1287" s="40"/>
      <c r="AC1287" s="40" t="s">
        <v>5296</v>
      </c>
      <c r="AD1287" s="40"/>
      <c r="AE1287" s="40" t="s">
        <v>49</v>
      </c>
      <c r="AF1287" s="40"/>
      <c r="AG1287" s="40" t="s">
        <v>5297</v>
      </c>
      <c r="AH1287" s="40" t="s">
        <v>5298</v>
      </c>
      <c r="AI1287" s="54" t="s">
        <v>5299</v>
      </c>
    </row>
    <row r="1288" spans="2:35" ht="21" customHeight="1" outlineLevel="4" x14ac:dyDescent="0.2">
      <c r="B1288" s="39">
        <v>983</v>
      </c>
      <c r="C1288" s="40" t="s">
        <v>5300</v>
      </c>
      <c r="D1288" s="40" t="s">
        <v>5301</v>
      </c>
      <c r="E1288" s="41" t="s">
        <v>5302</v>
      </c>
      <c r="F1288" s="44"/>
      <c r="G1288" s="45" t="s">
        <v>5303</v>
      </c>
      <c r="H1288" s="46">
        <v>50</v>
      </c>
      <c r="I1288" s="47" t="s">
        <v>261</v>
      </c>
      <c r="J1288" s="47"/>
      <c r="K1288" s="47"/>
      <c r="L1288" s="39">
        <v>20</v>
      </c>
      <c r="M1288" s="48">
        <v>24</v>
      </c>
      <c r="N1288" s="15"/>
      <c r="O1288" s="47">
        <f>M1288*N1288</f>
        <v>0</v>
      </c>
      <c r="P1288" s="49">
        <f>0.08*N1288</f>
        <v>0</v>
      </c>
      <c r="Q1288" s="50">
        <f>0.00009*N1288</f>
        <v>0</v>
      </c>
      <c r="R1288" s="51"/>
      <c r="S1288" s="52" t="s">
        <v>5304</v>
      </c>
      <c r="T1288" s="52" t="s">
        <v>94</v>
      </c>
      <c r="U1288" s="40"/>
      <c r="V1288" s="40"/>
      <c r="W1288" s="40"/>
      <c r="X1288" s="40" t="s">
        <v>5305</v>
      </c>
      <c r="Y1288" s="40"/>
      <c r="Z1288" s="40" t="str">
        <f>HYPERLINK("https://knigipp.ru/api/getInfo/image/918d2760-327a-11e8-ba06-5cf3fc4a2490")</f>
        <v>https://knigipp.ru/api/getInfo/image/918d2760-327a-11e8-ba06-5cf3fc4a2490</v>
      </c>
      <c r="AA1288" s="40"/>
      <c r="AB1288" s="40"/>
      <c r="AC1288" s="40"/>
      <c r="AD1288" s="40"/>
      <c r="AE1288" s="40" t="s">
        <v>49</v>
      </c>
      <c r="AF1288" s="40"/>
      <c r="AG1288" s="40" t="s">
        <v>5297</v>
      </c>
      <c r="AH1288" s="40" t="s">
        <v>5298</v>
      </c>
      <c r="AI1288" s="54" t="s">
        <v>5299</v>
      </c>
    </row>
    <row r="1289" spans="2:35" ht="22.95" customHeight="1" outlineLevel="3" x14ac:dyDescent="0.2">
      <c r="B1289" s="74" t="s">
        <v>5306</v>
      </c>
      <c r="C1289" s="74"/>
      <c r="D1289" s="74"/>
    </row>
    <row r="1290" spans="2:35" ht="21" customHeight="1" outlineLevel="4" x14ac:dyDescent="0.2">
      <c r="B1290" s="4">
        <v>984</v>
      </c>
      <c r="C1290" s="5" t="s">
        <v>5307</v>
      </c>
      <c r="D1290" s="5" t="s">
        <v>5308</v>
      </c>
      <c r="E1290" s="6" t="s">
        <v>5309</v>
      </c>
      <c r="F1290" s="10"/>
      <c r="G1290" s="11" t="s">
        <v>5310</v>
      </c>
      <c r="H1290" s="12">
        <v>50</v>
      </c>
      <c r="I1290" s="13" t="s">
        <v>41</v>
      </c>
      <c r="J1290" s="13"/>
      <c r="K1290" s="13"/>
      <c r="L1290" s="4">
        <v>3</v>
      </c>
      <c r="M1290" s="14">
        <f>189*(1-P3/100)</f>
        <v>189</v>
      </c>
      <c r="N1290" s="15"/>
      <c r="O1290" s="13">
        <f t="shared" ref="O1290:O1300" si="47">M1290*N1290</f>
        <v>0</v>
      </c>
      <c r="P1290" s="22">
        <f t="shared" ref="P1290:P1295" si="48">0.121*N1290</f>
        <v>0</v>
      </c>
      <c r="Q1290" s="23">
        <f t="shared" ref="Q1290:Q1295" si="49">0.00028*N1290</f>
        <v>0</v>
      </c>
      <c r="R1290" s="24"/>
      <c r="S1290" s="25" t="s">
        <v>5311</v>
      </c>
      <c r="T1290" s="25" t="s">
        <v>43</v>
      </c>
      <c r="U1290" s="5"/>
      <c r="V1290" s="5"/>
      <c r="W1290" s="5" t="s">
        <v>46</v>
      </c>
      <c r="X1290" s="5"/>
      <c r="Y1290" s="5"/>
      <c r="Z1290" s="5" t="str">
        <f>HYPERLINK("https://knigipp.ru/api/getInfo/image/08f7b4a2-9822-11ee-a250-00155d82e908")</f>
        <v>https://knigipp.ru/api/getInfo/image/08f7b4a2-9822-11ee-a250-00155d82e908</v>
      </c>
      <c r="AA1290" s="5"/>
      <c r="AB1290" s="5"/>
      <c r="AC1290" s="5" t="s">
        <v>3375</v>
      </c>
      <c r="AD1290" s="5"/>
      <c r="AE1290" s="5" t="s">
        <v>49</v>
      </c>
      <c r="AF1290" s="5"/>
      <c r="AG1290" s="5"/>
      <c r="AH1290" s="5" t="s">
        <v>5312</v>
      </c>
    </row>
    <row r="1291" spans="2:35" ht="21" customHeight="1" outlineLevel="4" x14ac:dyDescent="0.2">
      <c r="B1291" s="4">
        <v>985</v>
      </c>
      <c r="C1291" s="5" t="s">
        <v>5313</v>
      </c>
      <c r="D1291" s="5" t="s">
        <v>5314</v>
      </c>
      <c r="E1291" s="6" t="s">
        <v>5315</v>
      </c>
      <c r="F1291" s="10"/>
      <c r="G1291" s="11" t="s">
        <v>5316</v>
      </c>
      <c r="H1291" s="12">
        <v>50</v>
      </c>
      <c r="I1291" s="13" t="s">
        <v>41</v>
      </c>
      <c r="J1291" s="13"/>
      <c r="K1291" s="13"/>
      <c r="L1291" s="4">
        <v>3</v>
      </c>
      <c r="M1291" s="14">
        <f>189*(1-P3/100)</f>
        <v>189</v>
      </c>
      <c r="N1291" s="15"/>
      <c r="O1291" s="13">
        <f t="shared" si="47"/>
        <v>0</v>
      </c>
      <c r="P1291" s="22">
        <f t="shared" si="48"/>
        <v>0</v>
      </c>
      <c r="Q1291" s="23">
        <f t="shared" si="49"/>
        <v>0</v>
      </c>
      <c r="R1291" s="24"/>
      <c r="S1291" s="25" t="s">
        <v>5317</v>
      </c>
      <c r="T1291" s="25" t="s">
        <v>43</v>
      </c>
      <c r="U1291" s="5"/>
      <c r="V1291" s="5"/>
      <c r="W1291" s="5" t="s">
        <v>46</v>
      </c>
      <c r="X1291" s="5"/>
      <c r="Y1291" s="5"/>
      <c r="Z1291" s="5" t="str">
        <f>HYPERLINK("https://knigipp.ru/api/getInfo/image/e7322d96-c7c2-11ed-a230-00155d82e902")</f>
        <v>https://knigipp.ru/api/getInfo/image/e7322d96-c7c2-11ed-a230-00155d82e902</v>
      </c>
      <c r="AA1291" s="5"/>
      <c r="AB1291" s="5"/>
      <c r="AC1291" s="5" t="s">
        <v>3375</v>
      </c>
      <c r="AD1291" s="5"/>
      <c r="AE1291" s="5" t="s">
        <v>49</v>
      </c>
      <c r="AF1291" s="5"/>
      <c r="AG1291" s="5"/>
      <c r="AH1291" s="5" t="s">
        <v>5312</v>
      </c>
    </row>
    <row r="1292" spans="2:35" ht="21" customHeight="1" outlineLevel="4" x14ac:dyDescent="0.2">
      <c r="B1292" s="4">
        <v>986</v>
      </c>
      <c r="C1292" s="5" t="s">
        <v>5318</v>
      </c>
      <c r="D1292" s="5" t="s">
        <v>5319</v>
      </c>
      <c r="E1292" s="6" t="s">
        <v>5320</v>
      </c>
      <c r="F1292" s="10"/>
      <c r="G1292" s="11" t="s">
        <v>5321</v>
      </c>
      <c r="H1292" s="12">
        <v>50</v>
      </c>
      <c r="I1292" s="13" t="s">
        <v>41</v>
      </c>
      <c r="J1292" s="13"/>
      <c r="K1292" s="13"/>
      <c r="L1292" s="4">
        <v>3</v>
      </c>
      <c r="M1292" s="14">
        <f>189*(1-P3/100)</f>
        <v>189</v>
      </c>
      <c r="N1292" s="15"/>
      <c r="O1292" s="13">
        <f t="shared" si="47"/>
        <v>0</v>
      </c>
      <c r="P1292" s="22">
        <f t="shared" si="48"/>
        <v>0</v>
      </c>
      <c r="Q1292" s="23">
        <f t="shared" si="49"/>
        <v>0</v>
      </c>
      <c r="R1292" s="24"/>
      <c r="S1292" s="25" t="s">
        <v>5322</v>
      </c>
      <c r="T1292" s="25" t="s">
        <v>43</v>
      </c>
      <c r="U1292" s="5"/>
      <c r="V1292" s="5"/>
      <c r="W1292" s="5" t="s">
        <v>46</v>
      </c>
      <c r="X1292" s="5"/>
      <c r="Y1292" s="5"/>
      <c r="Z1292" s="5" t="str">
        <f>HYPERLINK("https://knigipp.ru/api/getInfo/image/637611b3-9821-11ee-a250-00155d82e908")</f>
        <v>https://knigipp.ru/api/getInfo/image/637611b3-9821-11ee-a250-00155d82e908</v>
      </c>
      <c r="AA1292" s="5"/>
      <c r="AB1292" s="5"/>
      <c r="AC1292" s="5" t="s">
        <v>3375</v>
      </c>
      <c r="AD1292" s="5"/>
      <c r="AE1292" s="5" t="s">
        <v>49</v>
      </c>
      <c r="AF1292" s="5"/>
      <c r="AG1292" s="5"/>
      <c r="AH1292" s="5" t="s">
        <v>5312</v>
      </c>
    </row>
    <row r="1293" spans="2:35" ht="21" customHeight="1" outlineLevel="4" x14ac:dyDescent="0.2">
      <c r="B1293" s="4">
        <v>987</v>
      </c>
      <c r="C1293" s="5" t="s">
        <v>5323</v>
      </c>
      <c r="D1293" s="5" t="s">
        <v>5324</v>
      </c>
      <c r="E1293" s="6" t="s">
        <v>5325</v>
      </c>
      <c r="F1293" s="10"/>
      <c r="G1293" s="11" t="s">
        <v>5326</v>
      </c>
      <c r="H1293" s="12">
        <v>50</v>
      </c>
      <c r="I1293" s="13" t="s">
        <v>41</v>
      </c>
      <c r="J1293" s="13"/>
      <c r="K1293" s="13"/>
      <c r="L1293" s="4">
        <v>3</v>
      </c>
      <c r="M1293" s="14">
        <f>189*(1-P3/100)</f>
        <v>189</v>
      </c>
      <c r="N1293" s="15"/>
      <c r="O1293" s="13">
        <f t="shared" si="47"/>
        <v>0</v>
      </c>
      <c r="P1293" s="22">
        <f t="shared" si="48"/>
        <v>0</v>
      </c>
      <c r="Q1293" s="23">
        <f t="shared" si="49"/>
        <v>0</v>
      </c>
      <c r="R1293" s="24"/>
      <c r="S1293" s="25" t="s">
        <v>5327</v>
      </c>
      <c r="T1293" s="25" t="s">
        <v>43</v>
      </c>
      <c r="U1293" s="5"/>
      <c r="V1293" s="5"/>
      <c r="W1293" s="5" t="s">
        <v>46</v>
      </c>
      <c r="X1293" s="5"/>
      <c r="Y1293" s="5"/>
      <c r="Z1293" s="5" t="str">
        <f>HYPERLINK("https://knigipp.ru/api/getInfo/image/dc1b025f-9821-11ee-a250-00155d82e908")</f>
        <v>https://knigipp.ru/api/getInfo/image/dc1b025f-9821-11ee-a250-00155d82e908</v>
      </c>
      <c r="AA1293" s="5"/>
      <c r="AB1293" s="5"/>
      <c r="AC1293" s="5" t="s">
        <v>3375</v>
      </c>
      <c r="AD1293" s="5"/>
      <c r="AE1293" s="5" t="s">
        <v>49</v>
      </c>
      <c r="AF1293" s="5"/>
      <c r="AG1293" s="5"/>
      <c r="AH1293" s="5" t="s">
        <v>5312</v>
      </c>
    </row>
    <row r="1294" spans="2:35" ht="21" customHeight="1" outlineLevel="4" x14ac:dyDescent="0.2">
      <c r="B1294" s="4">
        <v>988</v>
      </c>
      <c r="C1294" s="5" t="s">
        <v>5328</v>
      </c>
      <c r="D1294" s="5" t="s">
        <v>5329</v>
      </c>
      <c r="E1294" s="6" t="s">
        <v>5330</v>
      </c>
      <c r="F1294" s="10"/>
      <c r="G1294" s="11" t="s">
        <v>5331</v>
      </c>
      <c r="H1294" s="12">
        <v>50</v>
      </c>
      <c r="I1294" s="13" t="s">
        <v>41</v>
      </c>
      <c r="J1294" s="13"/>
      <c r="K1294" s="13"/>
      <c r="L1294" s="4">
        <v>3</v>
      </c>
      <c r="M1294" s="14">
        <f>189*(1-P3/100)</f>
        <v>189</v>
      </c>
      <c r="N1294" s="15"/>
      <c r="O1294" s="13">
        <f t="shared" si="47"/>
        <v>0</v>
      </c>
      <c r="P1294" s="22">
        <f t="shared" si="48"/>
        <v>0</v>
      </c>
      <c r="Q1294" s="23">
        <f t="shared" si="49"/>
        <v>0</v>
      </c>
      <c r="R1294" s="24"/>
      <c r="S1294" s="25" t="s">
        <v>5332</v>
      </c>
      <c r="T1294" s="25" t="s">
        <v>43</v>
      </c>
      <c r="U1294" s="5"/>
      <c r="V1294" s="5"/>
      <c r="W1294" s="5" t="s">
        <v>46</v>
      </c>
      <c r="X1294" s="5"/>
      <c r="Y1294" s="5"/>
      <c r="Z1294" s="5" t="str">
        <f>HYPERLINK("https://knigipp.ru/api/getInfo/image/85fa890f-c7c3-11ed-a230-00155d82e902")</f>
        <v>https://knigipp.ru/api/getInfo/image/85fa890f-c7c3-11ed-a230-00155d82e902</v>
      </c>
      <c r="AA1294" s="5"/>
      <c r="AB1294" s="5"/>
      <c r="AC1294" s="5" t="s">
        <v>3375</v>
      </c>
      <c r="AD1294" s="5"/>
      <c r="AE1294" s="5" t="s">
        <v>49</v>
      </c>
      <c r="AF1294" s="5"/>
      <c r="AG1294" s="5"/>
      <c r="AH1294" s="5" t="s">
        <v>5312</v>
      </c>
    </row>
    <row r="1295" spans="2:35" ht="21" customHeight="1" outlineLevel="4" x14ac:dyDescent="0.2">
      <c r="B1295" s="4">
        <v>989</v>
      </c>
      <c r="C1295" s="5" t="s">
        <v>5333</v>
      </c>
      <c r="D1295" s="5" t="s">
        <v>5334</v>
      </c>
      <c r="E1295" s="6" t="s">
        <v>5335</v>
      </c>
      <c r="F1295" s="10"/>
      <c r="G1295" s="11" t="s">
        <v>5336</v>
      </c>
      <c r="H1295" s="12">
        <v>50</v>
      </c>
      <c r="I1295" s="13" t="s">
        <v>41</v>
      </c>
      <c r="J1295" s="13"/>
      <c r="K1295" s="13"/>
      <c r="L1295" s="4">
        <v>3</v>
      </c>
      <c r="M1295" s="14">
        <f>189*(1-P3/100)</f>
        <v>189</v>
      </c>
      <c r="N1295" s="15"/>
      <c r="O1295" s="13">
        <f t="shared" si="47"/>
        <v>0</v>
      </c>
      <c r="P1295" s="22">
        <f t="shared" si="48"/>
        <v>0</v>
      </c>
      <c r="Q1295" s="23">
        <f t="shared" si="49"/>
        <v>0</v>
      </c>
      <c r="R1295" s="24"/>
      <c r="S1295" s="25" t="s">
        <v>5337</v>
      </c>
      <c r="T1295" s="25" t="s">
        <v>43</v>
      </c>
      <c r="U1295" s="5"/>
      <c r="V1295" s="5"/>
      <c r="W1295" s="5" t="s">
        <v>46</v>
      </c>
      <c r="X1295" s="5"/>
      <c r="Y1295" s="5"/>
      <c r="Z1295" s="5" t="str">
        <f>HYPERLINK("https://knigipp.ru/api/getInfo/image/ad6475d1-c7c3-11ed-a230-00155d82e902")</f>
        <v>https://knigipp.ru/api/getInfo/image/ad6475d1-c7c3-11ed-a230-00155d82e902</v>
      </c>
      <c r="AA1295" s="5"/>
      <c r="AB1295" s="5"/>
      <c r="AC1295" s="5" t="s">
        <v>3375</v>
      </c>
      <c r="AD1295" s="5"/>
      <c r="AE1295" s="5" t="s">
        <v>49</v>
      </c>
      <c r="AF1295" s="5"/>
      <c r="AG1295" s="5"/>
      <c r="AH1295" s="5" t="s">
        <v>5312</v>
      </c>
    </row>
    <row r="1296" spans="2:35" ht="21" customHeight="1" outlineLevel="4" x14ac:dyDescent="0.2">
      <c r="B1296" s="4">
        <v>990</v>
      </c>
      <c r="C1296" s="5" t="s">
        <v>5338</v>
      </c>
      <c r="D1296" s="5" t="s">
        <v>5339</v>
      </c>
      <c r="E1296" s="6" t="s">
        <v>5340</v>
      </c>
      <c r="F1296" s="10"/>
      <c r="G1296" s="11" t="s">
        <v>5341</v>
      </c>
      <c r="H1296" s="12">
        <v>50</v>
      </c>
      <c r="I1296" s="13" t="s">
        <v>41</v>
      </c>
      <c r="J1296" s="13"/>
      <c r="K1296" s="13"/>
      <c r="L1296" s="4">
        <v>3</v>
      </c>
      <c r="M1296" s="14">
        <f>189*(1-P3/100)</f>
        <v>189</v>
      </c>
      <c r="N1296" s="15"/>
      <c r="O1296" s="13">
        <f t="shared" si="47"/>
        <v>0</v>
      </c>
      <c r="P1296" s="22">
        <f>0.119*N1296</f>
        <v>0</v>
      </c>
      <c r="Q1296" s="23">
        <f>0.00027*N1296</f>
        <v>0</v>
      </c>
      <c r="R1296" s="24"/>
      <c r="S1296" s="25" t="s">
        <v>5342</v>
      </c>
      <c r="T1296" s="25" t="s">
        <v>43</v>
      </c>
      <c r="U1296" s="5"/>
      <c r="V1296" s="5"/>
      <c r="W1296" s="5" t="s">
        <v>46</v>
      </c>
      <c r="X1296" s="5"/>
      <c r="Y1296" s="5"/>
      <c r="Z1296" s="5" t="str">
        <f>HYPERLINK("https://knigipp.ru/api/getInfo/image/9d2f58d4-9821-11ee-a250-00155d82e908")</f>
        <v>https://knigipp.ru/api/getInfo/image/9d2f58d4-9821-11ee-a250-00155d82e908</v>
      </c>
      <c r="AA1296" s="5"/>
      <c r="AB1296" s="5"/>
      <c r="AC1296" s="5" t="s">
        <v>3375</v>
      </c>
      <c r="AD1296" s="5"/>
      <c r="AE1296" s="5" t="s">
        <v>49</v>
      </c>
      <c r="AF1296" s="5"/>
      <c r="AG1296" s="5"/>
      <c r="AH1296" s="5" t="s">
        <v>5312</v>
      </c>
    </row>
    <row r="1297" spans="2:34" ht="21" customHeight="1" outlineLevel="4" x14ac:dyDescent="0.2">
      <c r="B1297" s="4">
        <v>991</v>
      </c>
      <c r="C1297" s="5" t="s">
        <v>5343</v>
      </c>
      <c r="D1297" s="5" t="s">
        <v>5344</v>
      </c>
      <c r="E1297" s="6" t="s">
        <v>5345</v>
      </c>
      <c r="F1297" s="10"/>
      <c r="G1297" s="11" t="s">
        <v>5346</v>
      </c>
      <c r="H1297" s="12">
        <v>50</v>
      </c>
      <c r="I1297" s="13" t="s">
        <v>41</v>
      </c>
      <c r="J1297" s="13"/>
      <c r="K1297" s="13"/>
      <c r="L1297" s="4">
        <v>3</v>
      </c>
      <c r="M1297" s="14">
        <f>189*(1-P3/100)</f>
        <v>189</v>
      </c>
      <c r="N1297" s="15"/>
      <c r="O1297" s="13">
        <f t="shared" si="47"/>
        <v>0</v>
      </c>
      <c r="P1297" s="22">
        <f>0.121*N1297</f>
        <v>0</v>
      </c>
      <c r="Q1297" s="23">
        <f>0.00028*N1297</f>
        <v>0</v>
      </c>
      <c r="R1297" s="24"/>
      <c r="S1297" s="25" t="s">
        <v>5347</v>
      </c>
      <c r="T1297" s="25" t="s">
        <v>43</v>
      </c>
      <c r="U1297" s="5"/>
      <c r="V1297" s="5"/>
      <c r="W1297" s="5" t="s">
        <v>46</v>
      </c>
      <c r="X1297" s="5"/>
      <c r="Y1297" s="5"/>
      <c r="Z1297" s="5" t="str">
        <f>HYPERLINK("https://knigipp.ru/api/getInfo/image/5ae2e8dc-c7c3-11ed-a230-00155d82e902")</f>
        <v>https://knigipp.ru/api/getInfo/image/5ae2e8dc-c7c3-11ed-a230-00155d82e902</v>
      </c>
      <c r="AA1297" s="5"/>
      <c r="AB1297" s="5"/>
      <c r="AC1297" s="5" t="s">
        <v>3375</v>
      </c>
      <c r="AD1297" s="5"/>
      <c r="AE1297" s="5" t="s">
        <v>49</v>
      </c>
      <c r="AF1297" s="5"/>
      <c r="AG1297" s="5"/>
      <c r="AH1297" s="5" t="s">
        <v>5312</v>
      </c>
    </row>
    <row r="1298" spans="2:34" ht="21" customHeight="1" outlineLevel="4" x14ac:dyDescent="0.2">
      <c r="B1298" s="4">
        <v>992</v>
      </c>
      <c r="C1298" s="5" t="s">
        <v>5348</v>
      </c>
      <c r="D1298" s="5" t="s">
        <v>5349</v>
      </c>
      <c r="E1298" s="6" t="s">
        <v>5350</v>
      </c>
      <c r="F1298" s="10"/>
      <c r="G1298" s="11" t="s">
        <v>5351</v>
      </c>
      <c r="H1298" s="12">
        <v>50</v>
      </c>
      <c r="I1298" s="13" t="s">
        <v>41</v>
      </c>
      <c r="J1298" s="13"/>
      <c r="K1298" s="13"/>
      <c r="L1298" s="4">
        <v>3</v>
      </c>
      <c r="M1298" s="14">
        <f>189*(1-P3/100)</f>
        <v>189</v>
      </c>
      <c r="N1298" s="15"/>
      <c r="O1298" s="13">
        <f t="shared" si="47"/>
        <v>0</v>
      </c>
      <c r="P1298" s="22">
        <f>0.121*N1298</f>
        <v>0</v>
      </c>
      <c r="Q1298" s="23">
        <f>0.00028*N1298</f>
        <v>0</v>
      </c>
      <c r="R1298" s="24"/>
      <c r="S1298" s="25" t="s">
        <v>5352</v>
      </c>
      <c r="T1298" s="25" t="s">
        <v>43</v>
      </c>
      <c r="U1298" s="5"/>
      <c r="V1298" s="5"/>
      <c r="W1298" s="5" t="s">
        <v>46</v>
      </c>
      <c r="X1298" s="5"/>
      <c r="Y1298" s="5"/>
      <c r="Z1298" s="5" t="str">
        <f>HYPERLINK("https://knigipp.ru/api/getInfo/image/615e8ad1-9822-11ee-a250-00155d82e908")</f>
        <v>https://knigipp.ru/api/getInfo/image/615e8ad1-9822-11ee-a250-00155d82e908</v>
      </c>
      <c r="AA1298" s="5"/>
      <c r="AB1298" s="5"/>
      <c r="AC1298" s="5" t="s">
        <v>3375</v>
      </c>
      <c r="AD1298" s="5"/>
      <c r="AE1298" s="5" t="s">
        <v>49</v>
      </c>
      <c r="AF1298" s="5"/>
      <c r="AG1298" s="5"/>
      <c r="AH1298" s="5" t="s">
        <v>5312</v>
      </c>
    </row>
    <row r="1299" spans="2:34" ht="21" customHeight="1" outlineLevel="4" x14ac:dyDescent="0.2">
      <c r="B1299" s="4">
        <v>993</v>
      </c>
      <c r="C1299" s="5" t="s">
        <v>5353</v>
      </c>
      <c r="D1299" s="5" t="s">
        <v>5354</v>
      </c>
      <c r="E1299" s="6" t="s">
        <v>5355</v>
      </c>
      <c r="F1299" s="10"/>
      <c r="G1299" s="11" t="s">
        <v>5356</v>
      </c>
      <c r="H1299" s="12">
        <v>50</v>
      </c>
      <c r="I1299" s="13" t="s">
        <v>41</v>
      </c>
      <c r="J1299" s="13"/>
      <c r="K1299" s="13"/>
      <c r="L1299" s="4">
        <v>3</v>
      </c>
      <c r="M1299" s="14">
        <f>189*(1-P3/100)</f>
        <v>189</v>
      </c>
      <c r="N1299" s="15"/>
      <c r="O1299" s="13">
        <f t="shared" si="47"/>
        <v>0</v>
      </c>
      <c r="P1299" s="22">
        <f>0.121*N1299</f>
        <v>0</v>
      </c>
      <c r="Q1299" s="23">
        <f>0.00028*N1299</f>
        <v>0</v>
      </c>
      <c r="R1299" s="24"/>
      <c r="S1299" s="25" t="s">
        <v>5357</v>
      </c>
      <c r="T1299" s="25" t="s">
        <v>43</v>
      </c>
      <c r="U1299" s="5"/>
      <c r="V1299" s="5"/>
      <c r="W1299" s="5" t="s">
        <v>46</v>
      </c>
      <c r="X1299" s="5"/>
      <c r="Y1299" s="5"/>
      <c r="Z1299" s="5" t="str">
        <f>HYPERLINK("https://knigipp.ru/api/getInfo/image/d38543a8-c7c3-11ed-a230-00155d82e902")</f>
        <v>https://knigipp.ru/api/getInfo/image/d38543a8-c7c3-11ed-a230-00155d82e902</v>
      </c>
      <c r="AA1299" s="5"/>
      <c r="AB1299" s="5"/>
      <c r="AC1299" s="5" t="s">
        <v>3375</v>
      </c>
      <c r="AD1299" s="5"/>
      <c r="AE1299" s="5" t="s">
        <v>49</v>
      </c>
      <c r="AF1299" s="5"/>
      <c r="AG1299" s="5"/>
      <c r="AH1299" s="5" t="s">
        <v>5312</v>
      </c>
    </row>
    <row r="1300" spans="2:34" ht="21" customHeight="1" outlineLevel="4" x14ac:dyDescent="0.2">
      <c r="B1300" s="4">
        <v>994</v>
      </c>
      <c r="C1300" s="5" t="s">
        <v>5358</v>
      </c>
      <c r="D1300" s="5" t="s">
        <v>5359</v>
      </c>
      <c r="E1300" s="6" t="s">
        <v>5360</v>
      </c>
      <c r="F1300" s="10"/>
      <c r="G1300" s="11" t="s">
        <v>5361</v>
      </c>
      <c r="H1300" s="12">
        <v>50</v>
      </c>
      <c r="I1300" s="13" t="s">
        <v>41</v>
      </c>
      <c r="J1300" s="13"/>
      <c r="K1300" s="13"/>
      <c r="L1300" s="4">
        <v>3</v>
      </c>
      <c r="M1300" s="14">
        <f>189*(1-P3/100)</f>
        <v>189</v>
      </c>
      <c r="N1300" s="15"/>
      <c r="O1300" s="13">
        <f t="shared" si="47"/>
        <v>0</v>
      </c>
      <c r="P1300" s="22">
        <f>0.121*N1300</f>
        <v>0</v>
      </c>
      <c r="Q1300" s="23">
        <f>0.00028*N1300</f>
        <v>0</v>
      </c>
      <c r="R1300" s="24"/>
      <c r="S1300" s="25" t="s">
        <v>5362</v>
      </c>
      <c r="T1300" s="25" t="s">
        <v>43</v>
      </c>
      <c r="U1300" s="5" t="s">
        <v>5363</v>
      </c>
      <c r="V1300" s="5"/>
      <c r="W1300" s="5" t="s">
        <v>46</v>
      </c>
      <c r="X1300" s="5"/>
      <c r="Y1300" s="5"/>
      <c r="Z1300" s="5" t="str">
        <f>HYPERLINK("https://knigipp.ru/api/getInfo/image/2c11c29d-9822-11ee-a250-00155d82e908")</f>
        <v>https://knigipp.ru/api/getInfo/image/2c11c29d-9822-11ee-a250-00155d82e908</v>
      </c>
      <c r="AA1300" s="5"/>
      <c r="AB1300" s="5"/>
      <c r="AC1300" s="5" t="s">
        <v>3375</v>
      </c>
      <c r="AD1300" s="5"/>
      <c r="AE1300" s="5" t="s">
        <v>49</v>
      </c>
      <c r="AF1300" s="5"/>
      <c r="AG1300" s="5"/>
      <c r="AH1300" s="5" t="s">
        <v>5312</v>
      </c>
    </row>
    <row r="1301" spans="2:34" ht="22.95" customHeight="1" outlineLevel="3" x14ac:dyDescent="0.2">
      <c r="B1301" s="74" t="s">
        <v>5364</v>
      </c>
      <c r="C1301" s="74"/>
      <c r="D1301" s="74"/>
    </row>
    <row r="1302" spans="2:34" ht="21" customHeight="1" outlineLevel="4" x14ac:dyDescent="0.2">
      <c r="B1302" s="4">
        <v>995</v>
      </c>
      <c r="C1302" s="5" t="s">
        <v>5365</v>
      </c>
      <c r="D1302" s="5" t="s">
        <v>5366</v>
      </c>
      <c r="E1302" s="6" t="s">
        <v>5367</v>
      </c>
      <c r="F1302" s="10"/>
      <c r="G1302" s="11" t="s">
        <v>5368</v>
      </c>
      <c r="H1302" s="12">
        <v>25</v>
      </c>
      <c r="I1302" s="13" t="s">
        <v>41</v>
      </c>
      <c r="J1302" s="13"/>
      <c r="K1302" s="13"/>
      <c r="L1302" s="4">
        <v>5</v>
      </c>
      <c r="M1302" s="14">
        <f>119*(1-P3/100)</f>
        <v>119</v>
      </c>
      <c r="N1302" s="15"/>
      <c r="O1302" s="13">
        <f>M1302*N1302</f>
        <v>0</v>
      </c>
      <c r="P1302" s="22">
        <f>0.108*N1302</f>
        <v>0</v>
      </c>
      <c r="Q1302" s="23">
        <f>0.00039*N1302</f>
        <v>0</v>
      </c>
      <c r="R1302" s="24"/>
      <c r="S1302" s="25" t="s">
        <v>5369</v>
      </c>
      <c r="T1302" s="25" t="s">
        <v>43</v>
      </c>
      <c r="U1302" s="5"/>
      <c r="V1302" s="5"/>
      <c r="W1302" s="5" t="s">
        <v>46</v>
      </c>
      <c r="X1302" s="5"/>
      <c r="Y1302" s="5"/>
      <c r="Z1302" s="5" t="str">
        <f>HYPERLINK("https://knigipp.ru/api/getInfo/image/1ff85b9d-918f-11ed-a22c-00155d82e902")</f>
        <v>https://knigipp.ru/api/getInfo/image/1ff85b9d-918f-11ed-a22c-00155d82e902</v>
      </c>
      <c r="AA1302" s="33">
        <v>32</v>
      </c>
      <c r="AB1302" s="5" t="s">
        <v>47</v>
      </c>
      <c r="AC1302" s="5" t="s">
        <v>96</v>
      </c>
      <c r="AD1302" s="5"/>
      <c r="AE1302" s="5" t="s">
        <v>49</v>
      </c>
      <c r="AF1302" s="5"/>
      <c r="AG1302" s="5"/>
      <c r="AH1302" s="5" t="s">
        <v>534</v>
      </c>
    </row>
    <row r="1303" spans="2:34" ht="21" customHeight="1" outlineLevel="4" x14ac:dyDescent="0.2">
      <c r="B1303" s="4">
        <v>996</v>
      </c>
      <c r="C1303" s="5" t="s">
        <v>5370</v>
      </c>
      <c r="D1303" s="5" t="s">
        <v>5371</v>
      </c>
      <c r="E1303" s="6" t="s">
        <v>5372</v>
      </c>
      <c r="F1303" s="10"/>
      <c r="G1303" s="11" t="s">
        <v>5368</v>
      </c>
      <c r="H1303" s="12">
        <v>25</v>
      </c>
      <c r="I1303" s="13" t="s">
        <v>41</v>
      </c>
      <c r="J1303" s="13"/>
      <c r="K1303" s="13"/>
      <c r="L1303" s="4">
        <v>5</v>
      </c>
      <c r="M1303" s="14">
        <f>119*(1-P3/100)</f>
        <v>119</v>
      </c>
      <c r="N1303" s="15"/>
      <c r="O1303" s="13">
        <f>M1303*N1303</f>
        <v>0</v>
      </c>
      <c r="P1303" s="22">
        <f>0.108*N1303</f>
        <v>0</v>
      </c>
      <c r="Q1303" s="23">
        <f>0.00039*N1303</f>
        <v>0</v>
      </c>
      <c r="R1303" s="24"/>
      <c r="S1303" s="25" t="s">
        <v>5373</v>
      </c>
      <c r="T1303" s="25" t="s">
        <v>43</v>
      </c>
      <c r="U1303" s="5"/>
      <c r="V1303" s="5"/>
      <c r="W1303" s="5" t="s">
        <v>46</v>
      </c>
      <c r="X1303" s="5"/>
      <c r="Y1303" s="5"/>
      <c r="Z1303" s="5" t="str">
        <f>HYPERLINK("https://knigipp.ru/api/getInfo/image/c962b893-918e-11ed-a22c-00155d82e902")</f>
        <v>https://knigipp.ru/api/getInfo/image/c962b893-918e-11ed-a22c-00155d82e902</v>
      </c>
      <c r="AA1303" s="33">
        <v>32</v>
      </c>
      <c r="AB1303" s="5" t="s">
        <v>47</v>
      </c>
      <c r="AC1303" s="5" t="s">
        <v>96</v>
      </c>
      <c r="AD1303" s="5"/>
      <c r="AE1303" s="5" t="s">
        <v>49</v>
      </c>
      <c r="AF1303" s="5"/>
      <c r="AG1303" s="5"/>
      <c r="AH1303" s="5" t="s">
        <v>534</v>
      </c>
    </row>
    <row r="1304" spans="2:34" ht="22.95" customHeight="1" outlineLevel="3" x14ac:dyDescent="0.2">
      <c r="B1304" s="74" t="s">
        <v>5374</v>
      </c>
      <c r="C1304" s="74"/>
      <c r="D1304" s="74"/>
    </row>
    <row r="1305" spans="2:34" ht="21" customHeight="1" outlineLevel="4" x14ac:dyDescent="0.2">
      <c r="B1305" s="4">
        <v>997</v>
      </c>
      <c r="C1305" s="5" t="s">
        <v>5375</v>
      </c>
      <c r="D1305" s="5" t="s">
        <v>5376</v>
      </c>
      <c r="E1305" s="6" t="s">
        <v>5377</v>
      </c>
      <c r="F1305" s="10"/>
      <c r="G1305" s="11" t="s">
        <v>5378</v>
      </c>
      <c r="H1305" s="12">
        <v>10</v>
      </c>
      <c r="I1305" s="13" t="s">
        <v>41</v>
      </c>
      <c r="J1305" s="13"/>
      <c r="K1305" s="13"/>
      <c r="L1305" s="4">
        <v>2</v>
      </c>
      <c r="M1305" s="14">
        <f>349*(1-P3/100)</f>
        <v>349</v>
      </c>
      <c r="N1305" s="15"/>
      <c r="O1305" s="13">
        <f>M1305*N1305</f>
        <v>0</v>
      </c>
      <c r="P1305" s="32">
        <f>0.28*N1305</f>
        <v>0</v>
      </c>
      <c r="Q1305" s="23">
        <f>0.00148*N1305</f>
        <v>0</v>
      </c>
      <c r="R1305" s="24"/>
      <c r="S1305" s="25" t="s">
        <v>5379</v>
      </c>
      <c r="T1305" s="25" t="s">
        <v>43</v>
      </c>
      <c r="U1305" s="5"/>
      <c r="V1305" s="5" t="s">
        <v>5380</v>
      </c>
      <c r="W1305" s="5" t="s">
        <v>2731</v>
      </c>
      <c r="X1305" s="5"/>
      <c r="Y1305" s="5"/>
      <c r="Z1305" s="5" t="str">
        <f>HYPERLINK("https://knigipp.ru/api/getInfo/image/a30e1b7d-039f-11ee-a23b-00155d82e902")</f>
        <v>https://knigipp.ru/api/getInfo/image/a30e1b7d-039f-11ee-a23b-00155d82e902</v>
      </c>
      <c r="AA1305" s="33">
        <v>36</v>
      </c>
      <c r="AB1305" s="5" t="s">
        <v>47</v>
      </c>
      <c r="AC1305" s="5" t="s">
        <v>48</v>
      </c>
      <c r="AD1305" s="5"/>
      <c r="AE1305" s="5" t="s">
        <v>49</v>
      </c>
      <c r="AF1305" s="5"/>
      <c r="AG1305" s="5"/>
      <c r="AH1305" s="5" t="s">
        <v>5381</v>
      </c>
    </row>
    <row r="1306" spans="2:34" ht="21" customHeight="1" outlineLevel="4" x14ac:dyDescent="0.2">
      <c r="B1306" s="4">
        <v>998</v>
      </c>
      <c r="C1306" s="5" t="s">
        <v>5382</v>
      </c>
      <c r="D1306" s="5" t="s">
        <v>5383</v>
      </c>
      <c r="E1306" s="6" t="s">
        <v>5384</v>
      </c>
      <c r="F1306" s="10"/>
      <c r="G1306" s="11" t="s">
        <v>5378</v>
      </c>
      <c r="H1306" s="12">
        <v>10</v>
      </c>
      <c r="I1306" s="13" t="s">
        <v>41</v>
      </c>
      <c r="J1306" s="13"/>
      <c r="K1306" s="13"/>
      <c r="L1306" s="4">
        <v>2</v>
      </c>
      <c r="M1306" s="14">
        <f>349*(1-P3/100)</f>
        <v>349</v>
      </c>
      <c r="N1306" s="15"/>
      <c r="O1306" s="13">
        <f>M1306*N1306</f>
        <v>0</v>
      </c>
      <c r="P1306" s="22">
        <f>0.279*N1306</f>
        <v>0</v>
      </c>
      <c r="Q1306" s="23">
        <f>0.00117*N1306</f>
        <v>0</v>
      </c>
      <c r="R1306" s="24"/>
      <c r="S1306" s="25" t="s">
        <v>5385</v>
      </c>
      <c r="T1306" s="25" t="s">
        <v>43</v>
      </c>
      <c r="U1306" s="5"/>
      <c r="V1306" s="5" t="s">
        <v>5386</v>
      </c>
      <c r="W1306" s="5" t="s">
        <v>2731</v>
      </c>
      <c r="X1306" s="5"/>
      <c r="Y1306" s="5"/>
      <c r="Z1306" s="5" t="str">
        <f>HYPERLINK("https://knigipp.ru/api/getInfo/image/3ac25bcb-03a0-11ee-a23b-00155d82e902")</f>
        <v>https://knigipp.ru/api/getInfo/image/3ac25bcb-03a0-11ee-a23b-00155d82e902</v>
      </c>
      <c r="AA1306" s="33">
        <v>36</v>
      </c>
      <c r="AB1306" s="5" t="s">
        <v>47</v>
      </c>
      <c r="AC1306" s="5" t="s">
        <v>48</v>
      </c>
      <c r="AD1306" s="5"/>
      <c r="AE1306" s="5" t="s">
        <v>49</v>
      </c>
      <c r="AF1306" s="5"/>
      <c r="AG1306" s="5"/>
      <c r="AH1306" s="5" t="s">
        <v>5381</v>
      </c>
    </row>
    <row r="1307" spans="2:34" ht="21" customHeight="1" outlineLevel="4" x14ac:dyDescent="0.2">
      <c r="B1307" s="4">
        <v>999</v>
      </c>
      <c r="C1307" s="5" t="s">
        <v>5387</v>
      </c>
      <c r="D1307" s="5" t="s">
        <v>5388</v>
      </c>
      <c r="E1307" s="6" t="s">
        <v>5389</v>
      </c>
      <c r="F1307" s="10"/>
      <c r="G1307" s="11" t="s">
        <v>5378</v>
      </c>
      <c r="H1307" s="12">
        <v>10</v>
      </c>
      <c r="I1307" s="13" t="s">
        <v>41</v>
      </c>
      <c r="J1307" s="13"/>
      <c r="K1307" s="13"/>
      <c r="L1307" s="4">
        <v>2</v>
      </c>
      <c r="M1307" s="14">
        <f>349*(1-P3/100)</f>
        <v>349</v>
      </c>
      <c r="N1307" s="15"/>
      <c r="O1307" s="13">
        <f>M1307*N1307</f>
        <v>0</v>
      </c>
      <c r="P1307" s="22">
        <f>0.282*N1307</f>
        <v>0</v>
      </c>
      <c r="Q1307" s="23">
        <f>0.00063*N1307</f>
        <v>0</v>
      </c>
      <c r="R1307" s="24"/>
      <c r="S1307" s="25" t="s">
        <v>5390</v>
      </c>
      <c r="T1307" s="25" t="s">
        <v>43</v>
      </c>
      <c r="U1307" s="5"/>
      <c r="V1307" s="5" t="s">
        <v>5391</v>
      </c>
      <c r="W1307" s="5" t="s">
        <v>2731</v>
      </c>
      <c r="X1307" s="5"/>
      <c r="Y1307" s="5"/>
      <c r="Z1307" s="5" t="str">
        <f>HYPERLINK("https://knigipp.ru/api/getInfo/image/67e6940b-03a0-11ee-a23b-00155d82e902")</f>
        <v>https://knigipp.ru/api/getInfo/image/67e6940b-03a0-11ee-a23b-00155d82e902</v>
      </c>
      <c r="AA1307" s="33">
        <v>36</v>
      </c>
      <c r="AB1307" s="5" t="s">
        <v>47</v>
      </c>
      <c r="AC1307" s="5" t="s">
        <v>48</v>
      </c>
      <c r="AD1307" s="5"/>
      <c r="AE1307" s="5" t="s">
        <v>49</v>
      </c>
      <c r="AF1307" s="5"/>
      <c r="AG1307" s="5"/>
      <c r="AH1307" s="5" t="s">
        <v>5381</v>
      </c>
    </row>
    <row r="1308" spans="2:34" ht="21" customHeight="1" outlineLevel="4" x14ac:dyDescent="0.2">
      <c r="B1308" s="42">
        <v>1000</v>
      </c>
      <c r="C1308" s="5" t="s">
        <v>5392</v>
      </c>
      <c r="D1308" s="5" t="s">
        <v>5393</v>
      </c>
      <c r="E1308" s="6" t="s">
        <v>5394</v>
      </c>
      <c r="F1308" s="10"/>
      <c r="G1308" s="11" t="s">
        <v>5378</v>
      </c>
      <c r="H1308" s="12">
        <v>10</v>
      </c>
      <c r="I1308" s="13" t="s">
        <v>41</v>
      </c>
      <c r="J1308" s="13"/>
      <c r="K1308" s="13"/>
      <c r="L1308" s="4">
        <v>2</v>
      </c>
      <c r="M1308" s="14">
        <f>349*(1-P3/100)</f>
        <v>349</v>
      </c>
      <c r="N1308" s="15"/>
      <c r="O1308" s="13">
        <f>M1308*N1308</f>
        <v>0</v>
      </c>
      <c r="P1308" s="22">
        <f>0.304*N1308</f>
        <v>0</v>
      </c>
      <c r="Q1308" s="23">
        <f>0.00095*N1308</f>
        <v>0</v>
      </c>
      <c r="R1308" s="24"/>
      <c r="S1308" s="25" t="s">
        <v>5395</v>
      </c>
      <c r="T1308" s="25" t="s">
        <v>43</v>
      </c>
      <c r="U1308" s="5"/>
      <c r="V1308" s="5" t="s">
        <v>5396</v>
      </c>
      <c r="W1308" s="5" t="s">
        <v>2731</v>
      </c>
      <c r="X1308" s="5"/>
      <c r="Y1308" s="5"/>
      <c r="Z1308" s="5" t="str">
        <f>HYPERLINK("https://knigipp.ru/api/getInfo/image/a3c69acf-03a0-11ee-a23b-00155d82e902")</f>
        <v>https://knigipp.ru/api/getInfo/image/a3c69acf-03a0-11ee-a23b-00155d82e902</v>
      </c>
      <c r="AA1308" s="33">
        <v>36</v>
      </c>
      <c r="AB1308" s="5" t="s">
        <v>47</v>
      </c>
      <c r="AC1308" s="5" t="s">
        <v>48</v>
      </c>
      <c r="AD1308" s="5"/>
      <c r="AE1308" s="5" t="s">
        <v>49</v>
      </c>
      <c r="AF1308" s="5"/>
      <c r="AG1308" s="5"/>
      <c r="AH1308" s="5" t="s">
        <v>5381</v>
      </c>
    </row>
    <row r="1309" spans="2:34" ht="22.95" customHeight="1" outlineLevel="3" x14ac:dyDescent="0.2">
      <c r="B1309" s="74" t="s">
        <v>5397</v>
      </c>
      <c r="C1309" s="74"/>
      <c r="D1309" s="74"/>
    </row>
    <row r="1310" spans="2:34" ht="21" customHeight="1" outlineLevel="4" x14ac:dyDescent="0.2">
      <c r="B1310" s="42">
        <v>1001</v>
      </c>
      <c r="C1310" s="5" t="s">
        <v>5398</v>
      </c>
      <c r="D1310" s="5" t="s">
        <v>5399</v>
      </c>
      <c r="E1310" s="6" t="s">
        <v>5400</v>
      </c>
      <c r="F1310" s="10"/>
      <c r="G1310" s="11" t="s">
        <v>5401</v>
      </c>
      <c r="H1310" s="12">
        <v>25</v>
      </c>
      <c r="I1310" s="13" t="s">
        <v>261</v>
      </c>
      <c r="J1310" s="13"/>
      <c r="K1310" s="13"/>
      <c r="L1310" s="4">
        <v>5</v>
      </c>
      <c r="M1310" s="14">
        <f>119*(1-P3/100)</f>
        <v>119</v>
      </c>
      <c r="N1310" s="15"/>
      <c r="O1310" s="13">
        <f>M1310*N1310</f>
        <v>0</v>
      </c>
      <c r="P1310" s="13">
        <v>0</v>
      </c>
      <c r="Q1310" s="13">
        <v>0</v>
      </c>
      <c r="R1310" s="24"/>
      <c r="S1310" s="25" t="s">
        <v>5402</v>
      </c>
      <c r="T1310" s="25" t="s">
        <v>43</v>
      </c>
      <c r="U1310" s="5"/>
      <c r="V1310" s="5"/>
      <c r="W1310" s="5" t="s">
        <v>46</v>
      </c>
      <c r="X1310" s="5"/>
      <c r="Y1310" s="5"/>
      <c r="Z1310" s="5" t="str">
        <f>HYPERLINK("https://knigipp.ru/api/getInfo/image/c1f35be1-918d-11ed-a22c-00155d82e902")</f>
        <v>https://knigipp.ru/api/getInfo/image/c1f35be1-918d-11ed-a22c-00155d82e902</v>
      </c>
      <c r="AA1310" s="33">
        <v>32</v>
      </c>
      <c r="AB1310" s="5" t="s">
        <v>47</v>
      </c>
      <c r="AC1310" s="5" t="s">
        <v>96</v>
      </c>
      <c r="AD1310" s="5"/>
      <c r="AE1310" s="5" t="s">
        <v>49</v>
      </c>
      <c r="AF1310" s="5"/>
      <c r="AG1310" s="5"/>
      <c r="AH1310" s="5" t="s">
        <v>534</v>
      </c>
    </row>
    <row r="1311" spans="2:34" ht="22.95" customHeight="1" outlineLevel="3" x14ac:dyDescent="0.2">
      <c r="B1311" s="74" t="s">
        <v>5403</v>
      </c>
      <c r="C1311" s="74"/>
      <c r="D1311" s="74"/>
    </row>
    <row r="1312" spans="2:34" ht="21" customHeight="1" outlineLevel="4" x14ac:dyDescent="0.2">
      <c r="B1312" s="42">
        <v>1002</v>
      </c>
      <c r="C1312" s="5" t="s">
        <v>5404</v>
      </c>
      <c r="D1312" s="5" t="s">
        <v>5405</v>
      </c>
      <c r="E1312" s="6" t="s">
        <v>5406</v>
      </c>
      <c r="F1312" s="10"/>
      <c r="G1312" s="11" t="s">
        <v>5407</v>
      </c>
      <c r="H1312" s="12">
        <v>30</v>
      </c>
      <c r="I1312" s="13" t="s">
        <v>41</v>
      </c>
      <c r="J1312" s="13"/>
      <c r="K1312" s="13"/>
      <c r="L1312" s="4">
        <v>7</v>
      </c>
      <c r="M1312" s="14">
        <f>99*(1-P3/100)</f>
        <v>99</v>
      </c>
      <c r="N1312" s="15"/>
      <c r="O1312" s="13">
        <f>M1312*N1312</f>
        <v>0</v>
      </c>
      <c r="P1312" s="13">
        <v>0</v>
      </c>
      <c r="Q1312" s="13">
        <v>0</v>
      </c>
      <c r="R1312" s="24"/>
      <c r="S1312" s="25" t="s">
        <v>5408</v>
      </c>
      <c r="T1312" s="25" t="s">
        <v>43</v>
      </c>
      <c r="U1312" s="5"/>
      <c r="V1312" s="5" t="s">
        <v>5409</v>
      </c>
      <c r="W1312" s="5" t="s">
        <v>46</v>
      </c>
      <c r="X1312" s="5" t="s">
        <v>5410</v>
      </c>
      <c r="Y1312" s="5"/>
      <c r="Z1312" s="5" t="str">
        <f>HYPERLINK("https://knigipp.ru/api/getInfo/image/418248cd-9048-11ee-a250-00155d82e908")</f>
        <v>https://knigipp.ru/api/getInfo/image/418248cd-9048-11ee-a250-00155d82e908</v>
      </c>
      <c r="AA1312" s="33">
        <v>32</v>
      </c>
      <c r="AB1312" s="5"/>
      <c r="AC1312" s="5" t="s">
        <v>96</v>
      </c>
      <c r="AD1312" s="5"/>
      <c r="AE1312" s="5" t="s">
        <v>49</v>
      </c>
      <c r="AF1312" s="5"/>
      <c r="AG1312" s="5"/>
      <c r="AH1312" s="5" t="s">
        <v>685</v>
      </c>
    </row>
    <row r="1313" spans="2:34" ht="21" customHeight="1" outlineLevel="4" x14ac:dyDescent="0.2">
      <c r="B1313" s="42">
        <v>1003</v>
      </c>
      <c r="C1313" s="5" t="s">
        <v>5411</v>
      </c>
      <c r="D1313" s="5" t="s">
        <v>5412</v>
      </c>
      <c r="E1313" s="6" t="s">
        <v>5413</v>
      </c>
      <c r="F1313" s="10"/>
      <c r="G1313" s="11" t="s">
        <v>5407</v>
      </c>
      <c r="H1313" s="12">
        <v>30</v>
      </c>
      <c r="I1313" s="13" t="s">
        <v>41</v>
      </c>
      <c r="J1313" s="13"/>
      <c r="K1313" s="13"/>
      <c r="L1313" s="4">
        <v>7</v>
      </c>
      <c r="M1313" s="14">
        <f>99*(1-P3/100)</f>
        <v>99</v>
      </c>
      <c r="N1313" s="15"/>
      <c r="O1313" s="13">
        <f>M1313*N1313</f>
        <v>0</v>
      </c>
      <c r="P1313" s="22">
        <f>0.062*N1313</f>
        <v>0</v>
      </c>
      <c r="Q1313" s="23">
        <f>0.00012*N1313</f>
        <v>0</v>
      </c>
      <c r="R1313" s="24"/>
      <c r="S1313" s="25" t="s">
        <v>5414</v>
      </c>
      <c r="T1313" s="25" t="s">
        <v>43</v>
      </c>
      <c r="U1313" s="5"/>
      <c r="V1313" s="5" t="s">
        <v>5415</v>
      </c>
      <c r="W1313" s="5" t="s">
        <v>46</v>
      </c>
      <c r="X1313" s="5" t="s">
        <v>5410</v>
      </c>
      <c r="Y1313" s="5"/>
      <c r="Z1313" s="5" t="str">
        <f>HYPERLINK("https://knigipp.ru/api/getInfo/image/85186e38-9048-11ee-a250-00155d82e908")</f>
        <v>https://knigipp.ru/api/getInfo/image/85186e38-9048-11ee-a250-00155d82e908</v>
      </c>
      <c r="AA1313" s="33">
        <v>32</v>
      </c>
      <c r="AB1313" s="5"/>
      <c r="AC1313" s="5" t="s">
        <v>96</v>
      </c>
      <c r="AD1313" s="5"/>
      <c r="AE1313" s="5" t="s">
        <v>49</v>
      </c>
      <c r="AF1313" s="5"/>
      <c r="AG1313" s="5"/>
      <c r="AH1313" s="5" t="s">
        <v>685</v>
      </c>
    </row>
    <row r="1314" spans="2:34" ht="21" customHeight="1" outlineLevel="4" x14ac:dyDescent="0.2">
      <c r="B1314" s="42">
        <v>1004</v>
      </c>
      <c r="C1314" s="5" t="s">
        <v>5416</v>
      </c>
      <c r="D1314" s="5" t="s">
        <v>5417</v>
      </c>
      <c r="E1314" s="6" t="s">
        <v>5418</v>
      </c>
      <c r="F1314" s="10"/>
      <c r="G1314" s="11" t="s">
        <v>5407</v>
      </c>
      <c r="H1314" s="12">
        <v>30</v>
      </c>
      <c r="I1314" s="13" t="s">
        <v>41</v>
      </c>
      <c r="J1314" s="13"/>
      <c r="K1314" s="13"/>
      <c r="L1314" s="4">
        <v>7</v>
      </c>
      <c r="M1314" s="14">
        <f>99*(1-P3/100)</f>
        <v>99</v>
      </c>
      <c r="N1314" s="15"/>
      <c r="O1314" s="13">
        <f>M1314*N1314</f>
        <v>0</v>
      </c>
      <c r="P1314" s="13">
        <v>0</v>
      </c>
      <c r="Q1314" s="13">
        <v>0</v>
      </c>
      <c r="R1314" s="24"/>
      <c r="S1314" s="25" t="s">
        <v>5419</v>
      </c>
      <c r="T1314" s="25" t="s">
        <v>43</v>
      </c>
      <c r="U1314" s="5"/>
      <c r="V1314" s="5" t="s">
        <v>5420</v>
      </c>
      <c r="W1314" s="5" t="s">
        <v>46</v>
      </c>
      <c r="X1314" s="5" t="s">
        <v>4784</v>
      </c>
      <c r="Y1314" s="5"/>
      <c r="Z1314" s="5" t="str">
        <f>HYPERLINK("https://knigipp.ru/api/getInfo/image/b84810aa-9048-11ee-a250-00155d82e908")</f>
        <v>https://knigipp.ru/api/getInfo/image/b84810aa-9048-11ee-a250-00155d82e908</v>
      </c>
      <c r="AA1314" s="33">
        <v>32</v>
      </c>
      <c r="AB1314" s="5"/>
      <c r="AC1314" s="5" t="s">
        <v>96</v>
      </c>
      <c r="AD1314" s="5"/>
      <c r="AE1314" s="5" t="s">
        <v>49</v>
      </c>
      <c r="AF1314" s="5"/>
      <c r="AG1314" s="5"/>
      <c r="AH1314" s="5" t="s">
        <v>685</v>
      </c>
    </row>
    <row r="1315" spans="2:34" ht="21" customHeight="1" outlineLevel="4" x14ac:dyDescent="0.2">
      <c r="B1315" s="42">
        <v>1005</v>
      </c>
      <c r="C1315" s="5" t="s">
        <v>5421</v>
      </c>
      <c r="D1315" s="5" t="s">
        <v>5422</v>
      </c>
      <c r="E1315" s="6" t="s">
        <v>5423</v>
      </c>
      <c r="F1315" s="10"/>
      <c r="G1315" s="11" t="s">
        <v>5407</v>
      </c>
      <c r="H1315" s="12">
        <v>30</v>
      </c>
      <c r="I1315" s="13" t="s">
        <v>41</v>
      </c>
      <c r="J1315" s="13"/>
      <c r="K1315" s="13"/>
      <c r="L1315" s="4">
        <v>7</v>
      </c>
      <c r="M1315" s="14">
        <f>99*(1-P3/100)</f>
        <v>99</v>
      </c>
      <c r="N1315" s="15"/>
      <c r="O1315" s="13">
        <f>M1315*N1315</f>
        <v>0</v>
      </c>
      <c r="P1315" s="13">
        <v>0</v>
      </c>
      <c r="Q1315" s="13">
        <v>0</v>
      </c>
      <c r="R1315" s="24"/>
      <c r="S1315" s="25" t="s">
        <v>5424</v>
      </c>
      <c r="T1315" s="25" t="s">
        <v>43</v>
      </c>
      <c r="U1315" s="5"/>
      <c r="V1315" s="5" t="s">
        <v>5425</v>
      </c>
      <c r="W1315" s="5" t="s">
        <v>46</v>
      </c>
      <c r="X1315" s="5" t="s">
        <v>5410</v>
      </c>
      <c r="Y1315" s="5"/>
      <c r="Z1315" s="5" t="str">
        <f>HYPERLINK("https://knigipp.ru/api/getInfo/image/eda8026c-9048-11ee-a250-00155d82e908")</f>
        <v>https://knigipp.ru/api/getInfo/image/eda8026c-9048-11ee-a250-00155d82e908</v>
      </c>
      <c r="AA1315" s="33">
        <v>32</v>
      </c>
      <c r="AB1315" s="5"/>
      <c r="AC1315" s="5" t="s">
        <v>96</v>
      </c>
      <c r="AD1315" s="5"/>
      <c r="AE1315" s="5" t="s">
        <v>49</v>
      </c>
      <c r="AF1315" s="5"/>
      <c r="AG1315" s="5"/>
      <c r="AH1315" s="5" t="s">
        <v>685</v>
      </c>
    </row>
    <row r="1316" spans="2:34" ht="22.95" customHeight="1" outlineLevel="3" x14ac:dyDescent="0.2">
      <c r="B1316" s="74" t="s">
        <v>5426</v>
      </c>
      <c r="C1316" s="74"/>
      <c r="D1316" s="74"/>
    </row>
    <row r="1317" spans="2:34" ht="21" customHeight="1" outlineLevel="4" x14ac:dyDescent="0.2">
      <c r="B1317" s="42">
        <v>1006</v>
      </c>
      <c r="C1317" s="5" t="s">
        <v>5427</v>
      </c>
      <c r="D1317" s="5" t="s">
        <v>5428</v>
      </c>
      <c r="E1317" s="6" t="s">
        <v>5429</v>
      </c>
      <c r="F1317" s="10"/>
      <c r="G1317" s="11" t="s">
        <v>5430</v>
      </c>
      <c r="H1317" s="12">
        <v>30</v>
      </c>
      <c r="I1317" s="13" t="s">
        <v>41</v>
      </c>
      <c r="J1317" s="13"/>
      <c r="K1317" s="13"/>
      <c r="L1317" s="4">
        <v>5</v>
      </c>
      <c r="M1317" s="14">
        <f>119.5*(1-P3/100)</f>
        <v>119.5</v>
      </c>
      <c r="N1317" s="15"/>
      <c r="O1317" s="13">
        <f>M1317*N1317</f>
        <v>0</v>
      </c>
      <c r="P1317" s="22">
        <f>0.113*N1317</f>
        <v>0</v>
      </c>
      <c r="Q1317" s="23">
        <f>0.00016*N1317</f>
        <v>0</v>
      </c>
      <c r="R1317" s="24"/>
      <c r="S1317" s="25" t="s">
        <v>5431</v>
      </c>
      <c r="T1317" s="25" t="s">
        <v>43</v>
      </c>
      <c r="U1317" s="5"/>
      <c r="V1317" s="5"/>
      <c r="W1317" s="5" t="s">
        <v>46</v>
      </c>
      <c r="X1317" s="5"/>
      <c r="Y1317" s="5"/>
      <c r="Z1317" s="5" t="str">
        <f>HYPERLINK("https://knigipp.ru/api/getInfo/image/e484ac68-8aea-11ea-a247-ac1f6b442184")</f>
        <v>https://knigipp.ru/api/getInfo/image/e484ac68-8aea-11ea-a247-ac1f6b442184</v>
      </c>
      <c r="AA1317" s="33">
        <v>32</v>
      </c>
      <c r="AB1317" s="5"/>
      <c r="AC1317" s="5" t="s">
        <v>96</v>
      </c>
      <c r="AD1317" s="5"/>
      <c r="AE1317" s="5" t="s">
        <v>49</v>
      </c>
      <c r="AF1317" s="5"/>
      <c r="AG1317" s="5"/>
      <c r="AH1317" s="5" t="s">
        <v>534</v>
      </c>
    </row>
    <row r="1318" spans="2:34" ht="21" customHeight="1" outlineLevel="4" x14ac:dyDescent="0.2">
      <c r="B1318" s="42">
        <v>1007</v>
      </c>
      <c r="C1318" s="5" t="s">
        <v>5432</v>
      </c>
      <c r="D1318" s="5" t="s">
        <v>5433</v>
      </c>
      <c r="E1318" s="6" t="s">
        <v>5434</v>
      </c>
      <c r="F1318" s="10"/>
      <c r="G1318" s="11" t="s">
        <v>5430</v>
      </c>
      <c r="H1318" s="12">
        <v>30</v>
      </c>
      <c r="I1318" s="13" t="s">
        <v>41</v>
      </c>
      <c r="J1318" s="13"/>
      <c r="K1318" s="13"/>
      <c r="L1318" s="4">
        <v>5</v>
      </c>
      <c r="M1318" s="14">
        <f>119.5*(1-P3/100)</f>
        <v>119.5</v>
      </c>
      <c r="N1318" s="15"/>
      <c r="O1318" s="13">
        <f>M1318*N1318</f>
        <v>0</v>
      </c>
      <c r="P1318" s="22">
        <f>0.113*N1318</f>
        <v>0</v>
      </c>
      <c r="Q1318" s="23">
        <f>0.00016*N1318</f>
        <v>0</v>
      </c>
      <c r="R1318" s="24"/>
      <c r="S1318" s="25" t="s">
        <v>5435</v>
      </c>
      <c r="T1318" s="25" t="s">
        <v>43</v>
      </c>
      <c r="U1318" s="5"/>
      <c r="V1318" s="5"/>
      <c r="W1318" s="5" t="s">
        <v>46</v>
      </c>
      <c r="X1318" s="5"/>
      <c r="Y1318" s="5"/>
      <c r="Z1318" s="5" t="str">
        <f>HYPERLINK("https://knigipp.ru/api/getInfo/image/fa55108b-8aea-11ea-a247-ac1f6b442184")</f>
        <v>https://knigipp.ru/api/getInfo/image/fa55108b-8aea-11ea-a247-ac1f6b442184</v>
      </c>
      <c r="AA1318" s="33">
        <v>32</v>
      </c>
      <c r="AB1318" s="5"/>
      <c r="AC1318" s="5" t="s">
        <v>96</v>
      </c>
      <c r="AD1318" s="5"/>
      <c r="AE1318" s="5" t="s">
        <v>49</v>
      </c>
      <c r="AF1318" s="5"/>
      <c r="AG1318" s="5"/>
      <c r="AH1318" s="5" t="s">
        <v>534</v>
      </c>
    </row>
    <row r="1319" spans="2:34" ht="21" customHeight="1" outlineLevel="4" x14ac:dyDescent="0.2">
      <c r="B1319" s="42">
        <v>1008</v>
      </c>
      <c r="C1319" s="5" t="s">
        <v>5436</v>
      </c>
      <c r="D1319" s="5" t="s">
        <v>5437</v>
      </c>
      <c r="E1319" s="6" t="s">
        <v>5438</v>
      </c>
      <c r="F1319" s="10"/>
      <c r="G1319" s="11" t="s">
        <v>5430</v>
      </c>
      <c r="H1319" s="12">
        <v>30</v>
      </c>
      <c r="I1319" s="13" t="s">
        <v>41</v>
      </c>
      <c r="J1319" s="13"/>
      <c r="K1319" s="13"/>
      <c r="L1319" s="4">
        <v>5</v>
      </c>
      <c r="M1319" s="14">
        <f>119.5*(1-P3/100)</f>
        <v>119.5</v>
      </c>
      <c r="N1319" s="15"/>
      <c r="O1319" s="13">
        <f>M1319*N1319</f>
        <v>0</v>
      </c>
      <c r="P1319" s="22">
        <f>0.113*N1319</f>
        <v>0</v>
      </c>
      <c r="Q1319" s="23">
        <f>0.00016*N1319</f>
        <v>0</v>
      </c>
      <c r="R1319" s="24"/>
      <c r="S1319" s="25" t="s">
        <v>5439</v>
      </c>
      <c r="T1319" s="25" t="s">
        <v>43</v>
      </c>
      <c r="U1319" s="5"/>
      <c r="V1319" s="5"/>
      <c r="W1319" s="5" t="s">
        <v>46</v>
      </c>
      <c r="X1319" s="5"/>
      <c r="Y1319" s="5"/>
      <c r="Z1319" s="5" t="str">
        <f>HYPERLINK("https://knigipp.ru/api/getInfo/image/16da6a32-8aeb-11ea-a247-ac1f6b442184")</f>
        <v>https://knigipp.ru/api/getInfo/image/16da6a32-8aeb-11ea-a247-ac1f6b442184</v>
      </c>
      <c r="AA1319" s="33">
        <v>32</v>
      </c>
      <c r="AB1319" s="5"/>
      <c r="AC1319" s="5" t="s">
        <v>96</v>
      </c>
      <c r="AD1319" s="5"/>
      <c r="AE1319" s="5" t="s">
        <v>49</v>
      </c>
      <c r="AF1319" s="5"/>
      <c r="AG1319" s="5"/>
      <c r="AH1319" s="5" t="s">
        <v>534</v>
      </c>
    </row>
    <row r="1320" spans="2:34" ht="21" customHeight="1" outlineLevel="4" x14ac:dyDescent="0.2">
      <c r="B1320" s="42">
        <v>1009</v>
      </c>
      <c r="C1320" s="5" t="s">
        <v>5440</v>
      </c>
      <c r="D1320" s="5" t="s">
        <v>5441</v>
      </c>
      <c r="E1320" s="6" t="s">
        <v>5442</v>
      </c>
      <c r="F1320" s="10"/>
      <c r="G1320" s="11" t="s">
        <v>5430</v>
      </c>
      <c r="H1320" s="12">
        <v>30</v>
      </c>
      <c r="I1320" s="13" t="s">
        <v>41</v>
      </c>
      <c r="J1320" s="13"/>
      <c r="K1320" s="13"/>
      <c r="L1320" s="4">
        <v>5</v>
      </c>
      <c r="M1320" s="14">
        <f>119.5*(1-P3/100)</f>
        <v>119.5</v>
      </c>
      <c r="N1320" s="15"/>
      <c r="O1320" s="13">
        <f>M1320*N1320</f>
        <v>0</v>
      </c>
      <c r="P1320" s="22">
        <f>0.113*N1320</f>
        <v>0</v>
      </c>
      <c r="Q1320" s="23">
        <f>0.00016*N1320</f>
        <v>0</v>
      </c>
      <c r="R1320" s="24"/>
      <c r="S1320" s="25" t="s">
        <v>5443</v>
      </c>
      <c r="T1320" s="25" t="s">
        <v>43</v>
      </c>
      <c r="U1320" s="5"/>
      <c r="V1320" s="5"/>
      <c r="W1320" s="5" t="s">
        <v>46</v>
      </c>
      <c r="X1320" s="5"/>
      <c r="Y1320" s="5"/>
      <c r="Z1320" s="5" t="str">
        <f>HYPERLINK("https://knigipp.ru/api/getInfo/image/38ca83f5-33b5-11eb-a25e-ac1f6b442184")</f>
        <v>https://knigipp.ru/api/getInfo/image/38ca83f5-33b5-11eb-a25e-ac1f6b442184</v>
      </c>
      <c r="AA1320" s="33">
        <v>32</v>
      </c>
      <c r="AB1320" s="5"/>
      <c r="AC1320" s="5" t="s">
        <v>96</v>
      </c>
      <c r="AD1320" s="5"/>
      <c r="AE1320" s="5" t="s">
        <v>49</v>
      </c>
      <c r="AF1320" s="5"/>
      <c r="AG1320" s="5"/>
      <c r="AH1320" s="5" t="s">
        <v>534</v>
      </c>
    </row>
    <row r="1321" spans="2:34" ht="21" customHeight="1" outlineLevel="4" x14ac:dyDescent="0.2">
      <c r="B1321" s="42">
        <v>1010</v>
      </c>
      <c r="C1321" s="5" t="s">
        <v>5444</v>
      </c>
      <c r="D1321" s="5" t="s">
        <v>5445</v>
      </c>
      <c r="E1321" s="6" t="s">
        <v>5446</v>
      </c>
      <c r="F1321" s="10"/>
      <c r="G1321" s="11" t="s">
        <v>5447</v>
      </c>
      <c r="H1321" s="12">
        <v>30</v>
      </c>
      <c r="I1321" s="13" t="s">
        <v>41</v>
      </c>
      <c r="J1321" s="13"/>
      <c r="K1321" s="13"/>
      <c r="L1321" s="4">
        <v>5</v>
      </c>
      <c r="M1321" s="14">
        <f>119.5*(1-P3/100)</f>
        <v>119.5</v>
      </c>
      <c r="N1321" s="15"/>
      <c r="O1321" s="13">
        <f>M1321*N1321</f>
        <v>0</v>
      </c>
      <c r="P1321" s="13">
        <v>0</v>
      </c>
      <c r="Q1321" s="13">
        <v>0</v>
      </c>
      <c r="R1321" s="24"/>
      <c r="S1321" s="25" t="s">
        <v>5448</v>
      </c>
      <c r="T1321" s="25" t="s">
        <v>43</v>
      </c>
      <c r="U1321" s="5"/>
      <c r="V1321" s="5"/>
      <c r="W1321" s="5" t="s">
        <v>46</v>
      </c>
      <c r="X1321" s="5"/>
      <c r="Y1321" s="5"/>
      <c r="Z1321" s="5" t="str">
        <f>HYPERLINK("https://knigipp.ru/api/getInfo/image/bdbc0d0f-52a6-11ec-a20f-ac1f6b442185")</f>
        <v>https://knigipp.ru/api/getInfo/image/bdbc0d0f-52a6-11ec-a20f-ac1f6b442185</v>
      </c>
      <c r="AA1321" s="33">
        <v>32</v>
      </c>
      <c r="AB1321" s="5"/>
      <c r="AC1321" s="5" t="s">
        <v>96</v>
      </c>
      <c r="AD1321" s="5"/>
      <c r="AE1321" s="5" t="s">
        <v>49</v>
      </c>
      <c r="AF1321" s="5"/>
      <c r="AG1321" s="5"/>
      <c r="AH1321" s="5" t="s">
        <v>534</v>
      </c>
    </row>
    <row r="1322" spans="2:34" ht="22.95" customHeight="1" outlineLevel="3" x14ac:dyDescent="0.2">
      <c r="B1322" s="74" t="s">
        <v>5449</v>
      </c>
      <c r="C1322" s="74"/>
      <c r="D1322" s="74"/>
    </row>
    <row r="1323" spans="2:34" ht="21" customHeight="1" outlineLevel="4" x14ac:dyDescent="0.2">
      <c r="B1323" s="42">
        <v>1011</v>
      </c>
      <c r="C1323" s="5" t="s">
        <v>5450</v>
      </c>
      <c r="D1323" s="5" t="s">
        <v>5451</v>
      </c>
      <c r="E1323" s="6" t="s">
        <v>5452</v>
      </c>
      <c r="F1323" s="10"/>
      <c r="G1323" s="11" t="s">
        <v>5453</v>
      </c>
      <c r="H1323" s="12">
        <v>30</v>
      </c>
      <c r="I1323" s="13" t="s">
        <v>41</v>
      </c>
      <c r="J1323" s="13"/>
      <c r="K1323" s="13"/>
      <c r="L1323" s="4">
        <v>10</v>
      </c>
      <c r="M1323" s="14">
        <f>77*(1-P3/100)</f>
        <v>77</v>
      </c>
      <c r="N1323" s="15"/>
      <c r="O1323" s="13">
        <f>M1323*N1323</f>
        <v>0</v>
      </c>
      <c r="P1323" s="32">
        <f>0.05*N1323</f>
        <v>0</v>
      </c>
      <c r="Q1323" s="23">
        <f>0.00011*N1323</f>
        <v>0</v>
      </c>
      <c r="R1323" s="24"/>
      <c r="S1323" s="25" t="s">
        <v>5454</v>
      </c>
      <c r="T1323" s="25" t="s">
        <v>43</v>
      </c>
      <c r="U1323" s="5"/>
      <c r="V1323" s="5" t="s">
        <v>5455</v>
      </c>
      <c r="W1323" s="5" t="s">
        <v>46</v>
      </c>
      <c r="X1323" s="5"/>
      <c r="Y1323" s="5"/>
      <c r="Z1323" s="5" t="str">
        <f>HYPERLINK("https://knigipp.ru/api/getInfo/image/e5aafef4-25be-11f0-a279-00155d82e908")</f>
        <v>https://knigipp.ru/api/getInfo/image/e5aafef4-25be-11f0-a279-00155d82e908</v>
      </c>
      <c r="AA1323" s="33">
        <v>32</v>
      </c>
      <c r="AB1323" s="5"/>
      <c r="AC1323" s="5" t="s">
        <v>96</v>
      </c>
      <c r="AD1323" s="5"/>
      <c r="AE1323" s="5" t="s">
        <v>49</v>
      </c>
      <c r="AF1323" s="5"/>
      <c r="AG1323" s="5"/>
      <c r="AH1323" s="5" t="s">
        <v>4746</v>
      </c>
    </row>
    <row r="1324" spans="2:34" ht="21" customHeight="1" outlineLevel="4" x14ac:dyDescent="0.2">
      <c r="B1324" s="42">
        <v>1012</v>
      </c>
      <c r="C1324" s="5" t="s">
        <v>5456</v>
      </c>
      <c r="D1324" s="5" t="s">
        <v>5457</v>
      </c>
      <c r="E1324" s="6" t="s">
        <v>5458</v>
      </c>
      <c r="F1324" s="10"/>
      <c r="G1324" s="11" t="s">
        <v>5453</v>
      </c>
      <c r="H1324" s="12">
        <v>30</v>
      </c>
      <c r="I1324" s="13" t="s">
        <v>41</v>
      </c>
      <c r="J1324" s="13"/>
      <c r="K1324" s="13"/>
      <c r="L1324" s="4">
        <v>10</v>
      </c>
      <c r="M1324" s="14">
        <f>77*(1-P3/100)</f>
        <v>77</v>
      </c>
      <c r="N1324" s="15"/>
      <c r="O1324" s="13">
        <f>M1324*N1324</f>
        <v>0</v>
      </c>
      <c r="P1324" s="32">
        <f>0.05*N1324</f>
        <v>0</v>
      </c>
      <c r="Q1324" s="23">
        <f>0.00011*N1324</f>
        <v>0</v>
      </c>
      <c r="R1324" s="24"/>
      <c r="S1324" s="25" t="s">
        <v>5459</v>
      </c>
      <c r="T1324" s="25" t="s">
        <v>43</v>
      </c>
      <c r="U1324" s="5"/>
      <c r="V1324" s="5" t="s">
        <v>5460</v>
      </c>
      <c r="W1324" s="5" t="s">
        <v>46</v>
      </c>
      <c r="X1324" s="5"/>
      <c r="Y1324" s="5"/>
      <c r="Z1324" s="5" t="str">
        <f>HYPERLINK("https://knigipp.ru/api/getInfo/image/767e5f29-25be-11f0-a279-00155d82e908")</f>
        <v>https://knigipp.ru/api/getInfo/image/767e5f29-25be-11f0-a279-00155d82e908</v>
      </c>
      <c r="AA1324" s="33">
        <v>32</v>
      </c>
      <c r="AB1324" s="5"/>
      <c r="AC1324" s="5" t="s">
        <v>96</v>
      </c>
      <c r="AD1324" s="5"/>
      <c r="AE1324" s="5" t="s">
        <v>49</v>
      </c>
      <c r="AF1324" s="5"/>
      <c r="AG1324" s="5"/>
      <c r="AH1324" s="5" t="s">
        <v>4746</v>
      </c>
    </row>
    <row r="1325" spans="2:34" ht="22.95" customHeight="1" outlineLevel="2" x14ac:dyDescent="0.2">
      <c r="B1325" s="73" t="s">
        <v>5461</v>
      </c>
      <c r="C1325" s="73"/>
      <c r="D1325" s="73"/>
    </row>
    <row r="1326" spans="2:34" ht="22.95" customHeight="1" outlineLevel="3" x14ac:dyDescent="0.2">
      <c r="B1326" s="74" t="s">
        <v>5462</v>
      </c>
      <c r="C1326" s="74"/>
      <c r="D1326" s="74"/>
    </row>
    <row r="1327" spans="2:34" ht="22.95" customHeight="1" outlineLevel="4" x14ac:dyDescent="0.2">
      <c r="B1327" s="75" t="s">
        <v>5463</v>
      </c>
      <c r="C1327" s="75"/>
      <c r="D1327" s="75"/>
    </row>
    <row r="1328" spans="2:34" ht="21" customHeight="1" outlineLevel="5" x14ac:dyDescent="0.2">
      <c r="B1328" s="42">
        <v>1013</v>
      </c>
      <c r="C1328" s="5" t="s">
        <v>5464</v>
      </c>
      <c r="D1328" s="5" t="s">
        <v>5465</v>
      </c>
      <c r="E1328" s="6" t="s">
        <v>5466</v>
      </c>
      <c r="F1328" s="10"/>
      <c r="G1328" s="11" t="s">
        <v>5467</v>
      </c>
      <c r="H1328" s="12">
        <v>20</v>
      </c>
      <c r="I1328" s="13" t="s">
        <v>41</v>
      </c>
      <c r="J1328" s="13"/>
      <c r="K1328" s="13"/>
      <c r="L1328" s="4">
        <v>1</v>
      </c>
      <c r="M1328" s="35">
        <f>1497*(1-P3/100)</f>
        <v>1497</v>
      </c>
      <c r="N1328" s="15"/>
      <c r="O1328" s="13">
        <f t="shared" ref="O1328:O1333" si="50">M1328*N1328</f>
        <v>0</v>
      </c>
      <c r="P1328" s="22">
        <f>0.659*N1328</f>
        <v>0</v>
      </c>
      <c r="Q1328" s="23">
        <f>0.00077*N1328</f>
        <v>0</v>
      </c>
      <c r="R1328" s="24"/>
      <c r="S1328" s="25" t="s">
        <v>5468</v>
      </c>
      <c r="T1328" s="25" t="s">
        <v>43</v>
      </c>
      <c r="U1328" s="5"/>
      <c r="V1328" s="5" t="s">
        <v>5469</v>
      </c>
      <c r="W1328" s="5" t="s">
        <v>46</v>
      </c>
      <c r="X1328" s="5"/>
      <c r="Y1328" s="5"/>
      <c r="Z1328" s="5" t="str">
        <f>HYPERLINK("https://knigipp.ru/api/getInfo/image/c762f36c-6d46-11f0-a284-00155d82e908")</f>
        <v>https://knigipp.ru/api/getInfo/image/c762f36c-6d46-11f0-a284-00155d82e908</v>
      </c>
      <c r="AA1328" s="33">
        <v>128</v>
      </c>
      <c r="AB1328" s="5" t="s">
        <v>47</v>
      </c>
      <c r="AC1328" s="5" t="s">
        <v>48</v>
      </c>
      <c r="AD1328" s="5"/>
      <c r="AE1328" s="5" t="s">
        <v>49</v>
      </c>
      <c r="AF1328" s="5"/>
      <c r="AG1328" s="5"/>
      <c r="AH1328" s="5" t="s">
        <v>5470</v>
      </c>
    </row>
    <row r="1329" spans="2:35" ht="21" customHeight="1" outlineLevel="5" x14ac:dyDescent="0.2">
      <c r="B1329" s="43">
        <v>1014</v>
      </c>
      <c r="C1329" s="8" t="s">
        <v>5471</v>
      </c>
      <c r="D1329" s="8" t="s">
        <v>5472</v>
      </c>
      <c r="E1329" s="9" t="s">
        <v>5473</v>
      </c>
      <c r="F1329" s="16"/>
      <c r="G1329" s="17" t="s">
        <v>5474</v>
      </c>
      <c r="H1329" s="18">
        <v>20</v>
      </c>
      <c r="I1329" s="19" t="s">
        <v>41</v>
      </c>
      <c r="J1329" s="19"/>
      <c r="K1329" s="19"/>
      <c r="L1329" s="7">
        <v>1</v>
      </c>
      <c r="M1329" s="20">
        <f>1497*(1-P3/100)</f>
        <v>1497</v>
      </c>
      <c r="N1329" s="15"/>
      <c r="O1329" s="19">
        <f t="shared" si="50"/>
        <v>0</v>
      </c>
      <c r="P1329" s="26">
        <f>0.593*N1329</f>
        <v>0</v>
      </c>
      <c r="Q1329" s="27">
        <f>0.00073*N1329</f>
        <v>0</v>
      </c>
      <c r="R1329" s="28" t="s">
        <v>81</v>
      </c>
      <c r="S1329" s="29" t="s">
        <v>5475</v>
      </c>
      <c r="T1329" s="29" t="s">
        <v>43</v>
      </c>
      <c r="U1329" s="8"/>
      <c r="V1329" s="8" t="s">
        <v>5476</v>
      </c>
      <c r="W1329" s="8" t="s">
        <v>2731</v>
      </c>
      <c r="X1329" s="8"/>
      <c r="Y1329" s="8"/>
      <c r="Z1329" s="8" t="str">
        <f>HYPERLINK("https://knigipp.ru/api/getInfo/image/058e1ed7-e572-11f0-a28c-00155d82e908")</f>
        <v>https://knigipp.ru/api/getInfo/image/058e1ed7-e572-11f0-a28c-00155d82e908</v>
      </c>
      <c r="AA1329" s="34">
        <v>112</v>
      </c>
      <c r="AB1329" s="8" t="s">
        <v>47</v>
      </c>
      <c r="AC1329" s="8" t="s">
        <v>48</v>
      </c>
      <c r="AD1329" s="8"/>
      <c r="AE1329" s="8" t="s">
        <v>49</v>
      </c>
      <c r="AF1329" s="8"/>
      <c r="AG1329" s="8"/>
      <c r="AH1329" s="8" t="s">
        <v>5477</v>
      </c>
      <c r="AI1329" s="55"/>
    </row>
    <row r="1330" spans="2:35" ht="21" customHeight="1" outlineLevel="5" x14ac:dyDescent="0.2">
      <c r="B1330" s="43">
        <v>1015</v>
      </c>
      <c r="C1330" s="8" t="s">
        <v>5478</v>
      </c>
      <c r="D1330" s="8" t="s">
        <v>5479</v>
      </c>
      <c r="E1330" s="9" t="s">
        <v>5480</v>
      </c>
      <c r="F1330" s="16"/>
      <c r="G1330" s="17" t="s">
        <v>5481</v>
      </c>
      <c r="H1330" s="18">
        <v>20</v>
      </c>
      <c r="I1330" s="19" t="s">
        <v>41</v>
      </c>
      <c r="J1330" s="19"/>
      <c r="K1330" s="19"/>
      <c r="L1330" s="7">
        <v>1</v>
      </c>
      <c r="M1330" s="20">
        <f>1497*(1-P3/100)</f>
        <v>1497</v>
      </c>
      <c r="N1330" s="15"/>
      <c r="O1330" s="19">
        <f t="shared" si="50"/>
        <v>0</v>
      </c>
      <c r="P1330" s="26">
        <f>0.661*N1330</f>
        <v>0</v>
      </c>
      <c r="Q1330" s="31">
        <f>0.0009*N1330</f>
        <v>0</v>
      </c>
      <c r="R1330" s="28" t="s">
        <v>81</v>
      </c>
      <c r="S1330" s="29" t="s">
        <v>5482</v>
      </c>
      <c r="T1330" s="29" t="s">
        <v>43</v>
      </c>
      <c r="U1330" s="8"/>
      <c r="V1330" s="8" t="s">
        <v>5483</v>
      </c>
      <c r="W1330" s="8" t="s">
        <v>46</v>
      </c>
      <c r="X1330" s="8"/>
      <c r="Y1330" s="8"/>
      <c r="Z1330" s="8" t="str">
        <f>HYPERLINK("https://knigipp.ru/api/getInfo/image/ed28c863-b660-11f0-a286-00155d82e908")</f>
        <v>https://knigipp.ru/api/getInfo/image/ed28c863-b660-11f0-a286-00155d82e908</v>
      </c>
      <c r="AA1330" s="34">
        <v>128</v>
      </c>
      <c r="AB1330" s="8" t="s">
        <v>47</v>
      </c>
      <c r="AC1330" s="8" t="s">
        <v>48</v>
      </c>
      <c r="AD1330" s="8"/>
      <c r="AE1330" s="8" t="s">
        <v>49</v>
      </c>
      <c r="AF1330" s="8"/>
      <c r="AG1330" s="8"/>
      <c r="AH1330" s="8" t="s">
        <v>5470</v>
      </c>
      <c r="AI1330" s="55"/>
    </row>
    <row r="1331" spans="2:35" ht="21" customHeight="1" outlineLevel="5" x14ac:dyDescent="0.2">
      <c r="B1331" s="42">
        <v>1016</v>
      </c>
      <c r="C1331" s="5" t="s">
        <v>5484</v>
      </c>
      <c r="D1331" s="5" t="s">
        <v>5485</v>
      </c>
      <c r="E1331" s="6" t="s">
        <v>5486</v>
      </c>
      <c r="F1331" s="10"/>
      <c r="G1331" s="11" t="s">
        <v>5487</v>
      </c>
      <c r="H1331" s="12">
        <v>20</v>
      </c>
      <c r="I1331" s="13" t="s">
        <v>41</v>
      </c>
      <c r="J1331" s="13"/>
      <c r="K1331" s="13"/>
      <c r="L1331" s="4">
        <v>1</v>
      </c>
      <c r="M1331" s="35">
        <f>1497*(1-P3/100)</f>
        <v>1497</v>
      </c>
      <c r="N1331" s="15"/>
      <c r="O1331" s="13">
        <f t="shared" si="50"/>
        <v>0</v>
      </c>
      <c r="P1331" s="32">
        <f>0.66*N1331</f>
        <v>0</v>
      </c>
      <c r="Q1331" s="23">
        <f>0.00077*N1331</f>
        <v>0</v>
      </c>
      <c r="R1331" s="24"/>
      <c r="S1331" s="25" t="s">
        <v>5488</v>
      </c>
      <c r="T1331" s="25" t="s">
        <v>43</v>
      </c>
      <c r="U1331" s="5"/>
      <c r="V1331" s="5" t="s">
        <v>5489</v>
      </c>
      <c r="W1331" s="5" t="s">
        <v>46</v>
      </c>
      <c r="X1331" s="5"/>
      <c r="Y1331" s="5"/>
      <c r="Z1331" s="5" t="str">
        <f>HYPERLINK("https://knigipp.ru/api/getInfo/image/0a1ce89f-6d47-11f0-a284-00155d82e908")</f>
        <v>https://knigipp.ru/api/getInfo/image/0a1ce89f-6d47-11f0-a284-00155d82e908</v>
      </c>
      <c r="AA1331" s="33">
        <v>128</v>
      </c>
      <c r="AB1331" s="5" t="s">
        <v>47</v>
      </c>
      <c r="AC1331" s="5" t="s">
        <v>48</v>
      </c>
      <c r="AD1331" s="5"/>
      <c r="AE1331" s="5" t="s">
        <v>49</v>
      </c>
      <c r="AF1331" s="5"/>
      <c r="AG1331" s="5"/>
      <c r="AH1331" s="5" t="s">
        <v>5470</v>
      </c>
    </row>
    <row r="1332" spans="2:35" ht="21" customHeight="1" outlineLevel="5" x14ac:dyDescent="0.2">
      <c r="B1332" s="43">
        <v>1017</v>
      </c>
      <c r="C1332" s="8" t="s">
        <v>5490</v>
      </c>
      <c r="D1332" s="8" t="s">
        <v>5491</v>
      </c>
      <c r="E1332" s="9" t="s">
        <v>5492</v>
      </c>
      <c r="F1332" s="16"/>
      <c r="G1332" s="17" t="s">
        <v>5481</v>
      </c>
      <c r="H1332" s="18">
        <v>20</v>
      </c>
      <c r="I1332" s="19" t="s">
        <v>41</v>
      </c>
      <c r="J1332" s="19"/>
      <c r="K1332" s="19"/>
      <c r="L1332" s="7">
        <v>1</v>
      </c>
      <c r="M1332" s="20">
        <f>1497*(1-P3/100)</f>
        <v>1497</v>
      </c>
      <c r="N1332" s="15"/>
      <c r="O1332" s="19">
        <f t="shared" si="50"/>
        <v>0</v>
      </c>
      <c r="P1332" s="26">
        <f>0.666*N1332</f>
        <v>0</v>
      </c>
      <c r="Q1332" s="27">
        <f>0.00078*N1332</f>
        <v>0</v>
      </c>
      <c r="R1332" s="28" t="s">
        <v>81</v>
      </c>
      <c r="S1332" s="29" t="s">
        <v>5493</v>
      </c>
      <c r="T1332" s="29" t="s">
        <v>43</v>
      </c>
      <c r="U1332" s="8"/>
      <c r="V1332" s="8" t="s">
        <v>5494</v>
      </c>
      <c r="W1332" s="8" t="s">
        <v>463</v>
      </c>
      <c r="X1332" s="8"/>
      <c r="Y1332" s="8"/>
      <c r="Z1332" s="8" t="str">
        <f>HYPERLINK("https://knigipp.ru/api/getInfo/image/31b9b019-b661-11f0-a286-00155d82e908")</f>
        <v>https://knigipp.ru/api/getInfo/image/31b9b019-b661-11f0-a286-00155d82e908</v>
      </c>
      <c r="AA1332" s="34">
        <v>128</v>
      </c>
      <c r="AB1332" s="8" t="s">
        <v>47</v>
      </c>
      <c r="AC1332" s="8" t="s">
        <v>48</v>
      </c>
      <c r="AD1332" s="8"/>
      <c r="AE1332" s="8" t="s">
        <v>49</v>
      </c>
      <c r="AF1332" s="8"/>
      <c r="AG1332" s="8"/>
      <c r="AH1332" s="8" t="s">
        <v>5470</v>
      </c>
      <c r="AI1332" s="55"/>
    </row>
    <row r="1333" spans="2:35" ht="21" customHeight="1" outlineLevel="5" x14ac:dyDescent="0.2">
      <c r="B1333" s="43">
        <v>1018</v>
      </c>
      <c r="C1333" s="8" t="s">
        <v>5495</v>
      </c>
      <c r="D1333" s="8" t="s">
        <v>5496</v>
      </c>
      <c r="E1333" s="9" t="s">
        <v>5497</v>
      </c>
      <c r="F1333" s="16"/>
      <c r="G1333" s="17" t="s">
        <v>5481</v>
      </c>
      <c r="H1333" s="18">
        <v>20</v>
      </c>
      <c r="I1333" s="19" t="s">
        <v>41</v>
      </c>
      <c r="J1333" s="19"/>
      <c r="K1333" s="19"/>
      <c r="L1333" s="7">
        <v>1</v>
      </c>
      <c r="M1333" s="20">
        <f>1497*(1-P3/100)</f>
        <v>1497</v>
      </c>
      <c r="N1333" s="15"/>
      <c r="O1333" s="19">
        <f t="shared" si="50"/>
        <v>0</v>
      </c>
      <c r="P1333" s="26">
        <f>0.663*N1333</f>
        <v>0</v>
      </c>
      <c r="Q1333" s="27">
        <f>0.00085*N1333</f>
        <v>0</v>
      </c>
      <c r="R1333" s="28" t="s">
        <v>81</v>
      </c>
      <c r="S1333" s="29" t="s">
        <v>5498</v>
      </c>
      <c r="T1333" s="29" t="s">
        <v>43</v>
      </c>
      <c r="U1333" s="8"/>
      <c r="V1333" s="8" t="s">
        <v>5499</v>
      </c>
      <c r="W1333" s="8" t="s">
        <v>46</v>
      </c>
      <c r="X1333" s="8"/>
      <c r="Y1333" s="8"/>
      <c r="Z1333" s="8" t="str">
        <f>HYPERLINK("https://knigipp.ru/api/getInfo/image/73faf100-b660-11f0-a286-00155d82e908")</f>
        <v>https://knigipp.ru/api/getInfo/image/73faf100-b660-11f0-a286-00155d82e908</v>
      </c>
      <c r="AA1333" s="34">
        <v>128</v>
      </c>
      <c r="AB1333" s="8" t="s">
        <v>47</v>
      </c>
      <c r="AC1333" s="8" t="s">
        <v>48</v>
      </c>
      <c r="AD1333" s="8"/>
      <c r="AE1333" s="8" t="s">
        <v>49</v>
      </c>
      <c r="AF1333" s="8"/>
      <c r="AG1333" s="8"/>
      <c r="AH1333" s="8" t="s">
        <v>5470</v>
      </c>
      <c r="AI1333" s="55"/>
    </row>
    <row r="1334" spans="2:35" ht="22.95" customHeight="1" outlineLevel="3" x14ac:dyDescent="0.2">
      <c r="B1334" s="74" t="s">
        <v>5500</v>
      </c>
      <c r="C1334" s="74"/>
      <c r="D1334" s="74"/>
    </row>
    <row r="1335" spans="2:35" ht="22.95" customHeight="1" outlineLevel="4" x14ac:dyDescent="0.2">
      <c r="B1335" s="75" t="s">
        <v>5501</v>
      </c>
      <c r="C1335" s="75"/>
      <c r="D1335" s="75"/>
    </row>
    <row r="1336" spans="2:35" ht="21" customHeight="1" outlineLevel="5" x14ac:dyDescent="0.2">
      <c r="B1336" s="42">
        <v>1019</v>
      </c>
      <c r="C1336" s="5" t="s">
        <v>5502</v>
      </c>
      <c r="D1336" s="5" t="s">
        <v>5503</v>
      </c>
      <c r="E1336" s="6" t="s">
        <v>5504</v>
      </c>
      <c r="F1336" s="10"/>
      <c r="G1336" s="11" t="s">
        <v>5505</v>
      </c>
      <c r="H1336" s="12">
        <v>50</v>
      </c>
      <c r="I1336" s="13" t="s">
        <v>371</v>
      </c>
      <c r="J1336" s="13"/>
      <c r="K1336" s="13"/>
      <c r="L1336" s="4">
        <v>15</v>
      </c>
      <c r="M1336" s="14">
        <f>37*(1-P3/100)</f>
        <v>37</v>
      </c>
      <c r="N1336" s="15"/>
      <c r="O1336" s="13">
        <f t="shared" ref="O1336:O1346" si="51">M1336*N1336</f>
        <v>0</v>
      </c>
      <c r="P1336" s="13">
        <v>0</v>
      </c>
      <c r="Q1336" s="13">
        <v>0</v>
      </c>
      <c r="R1336" s="24"/>
      <c r="S1336" s="25" t="s">
        <v>5506</v>
      </c>
      <c r="T1336" s="25" t="s">
        <v>43</v>
      </c>
      <c r="U1336" s="5"/>
      <c r="V1336" s="5" t="s">
        <v>5507</v>
      </c>
      <c r="W1336" s="5" t="s">
        <v>46</v>
      </c>
      <c r="X1336" s="5"/>
      <c r="Y1336" s="5"/>
      <c r="Z1336" s="5" t="str">
        <f>HYPERLINK("https://knigipp.ru/api/getInfo/image/4bc3f6a4-20a6-11ee-a23c-00155d82e902")</f>
        <v>https://knigipp.ru/api/getInfo/image/4bc3f6a4-20a6-11ee-a23c-00155d82e902</v>
      </c>
      <c r="AA1336" s="33">
        <v>12</v>
      </c>
      <c r="AB1336" s="5" t="s">
        <v>47</v>
      </c>
      <c r="AC1336" s="5" t="s">
        <v>96</v>
      </c>
      <c r="AD1336" s="5"/>
      <c r="AE1336" s="5" t="s">
        <v>49</v>
      </c>
      <c r="AF1336" s="5"/>
      <c r="AG1336" s="5"/>
      <c r="AH1336" s="5" t="s">
        <v>5508</v>
      </c>
    </row>
    <row r="1337" spans="2:35" ht="21" customHeight="1" outlineLevel="5" x14ac:dyDescent="0.2">
      <c r="B1337" s="42">
        <v>1020</v>
      </c>
      <c r="C1337" s="5" t="s">
        <v>5509</v>
      </c>
      <c r="D1337" s="5" t="s">
        <v>5510</v>
      </c>
      <c r="E1337" s="6" t="s">
        <v>5511</v>
      </c>
      <c r="F1337" s="10"/>
      <c r="G1337" s="11"/>
      <c r="H1337" s="12">
        <v>50</v>
      </c>
      <c r="I1337" s="13" t="s">
        <v>261</v>
      </c>
      <c r="J1337" s="13"/>
      <c r="K1337" s="13"/>
      <c r="L1337" s="4">
        <v>15</v>
      </c>
      <c r="M1337" s="14">
        <f>37*(1-P3/100)</f>
        <v>37</v>
      </c>
      <c r="N1337" s="15"/>
      <c r="O1337" s="13">
        <f t="shared" si="51"/>
        <v>0</v>
      </c>
      <c r="P1337" s="13">
        <v>0</v>
      </c>
      <c r="Q1337" s="13">
        <v>0</v>
      </c>
      <c r="R1337" s="24"/>
      <c r="S1337" s="25" t="s">
        <v>5512</v>
      </c>
      <c r="T1337" s="25" t="s">
        <v>43</v>
      </c>
      <c r="U1337" s="5"/>
      <c r="V1337" s="5" t="s">
        <v>5513</v>
      </c>
      <c r="W1337" s="5" t="s">
        <v>46</v>
      </c>
      <c r="X1337" s="5" t="s">
        <v>323</v>
      </c>
      <c r="Y1337" s="5"/>
      <c r="Z1337" s="5" t="str">
        <f>HYPERLINK("https://knigipp.ru/api/getInfo/image/b79e4dfb-c105-11ee-a25a-00155d82e908")</f>
        <v>https://knigipp.ru/api/getInfo/image/b79e4dfb-c105-11ee-a25a-00155d82e908</v>
      </c>
      <c r="AA1337" s="33">
        <v>12</v>
      </c>
      <c r="AB1337" s="5" t="s">
        <v>47</v>
      </c>
      <c r="AC1337" s="5" t="s">
        <v>96</v>
      </c>
      <c r="AD1337" s="5"/>
      <c r="AE1337" s="5" t="s">
        <v>49</v>
      </c>
      <c r="AF1337" s="5"/>
      <c r="AG1337" s="5"/>
      <c r="AH1337" s="5" t="s">
        <v>5508</v>
      </c>
    </row>
    <row r="1338" spans="2:35" ht="21" customHeight="1" outlineLevel="5" x14ac:dyDescent="0.2">
      <c r="B1338" s="42">
        <v>1021</v>
      </c>
      <c r="C1338" s="5" t="s">
        <v>5514</v>
      </c>
      <c r="D1338" s="5" t="s">
        <v>5515</v>
      </c>
      <c r="E1338" s="6" t="s">
        <v>5516</v>
      </c>
      <c r="F1338" s="10"/>
      <c r="G1338" s="11"/>
      <c r="H1338" s="12">
        <v>50</v>
      </c>
      <c r="I1338" s="13" t="s">
        <v>41</v>
      </c>
      <c r="J1338" s="13"/>
      <c r="K1338" s="13"/>
      <c r="L1338" s="4">
        <v>15</v>
      </c>
      <c r="M1338" s="14">
        <f>37*(1-P3/100)</f>
        <v>37</v>
      </c>
      <c r="N1338" s="15"/>
      <c r="O1338" s="13">
        <f t="shared" si="51"/>
        <v>0</v>
      </c>
      <c r="P1338" s="13">
        <v>0</v>
      </c>
      <c r="Q1338" s="13">
        <v>0</v>
      </c>
      <c r="R1338" s="24"/>
      <c r="S1338" s="25" t="s">
        <v>5517</v>
      </c>
      <c r="T1338" s="25" t="s">
        <v>43</v>
      </c>
      <c r="U1338" s="5"/>
      <c r="V1338" s="5" t="s">
        <v>5518</v>
      </c>
      <c r="W1338" s="5" t="s">
        <v>46</v>
      </c>
      <c r="X1338" s="5" t="s">
        <v>323</v>
      </c>
      <c r="Y1338" s="5"/>
      <c r="Z1338" s="5" t="str">
        <f>HYPERLINK("https://knigipp.ru/api/getInfo/image/de84c510-c107-11ee-a25a-00155d82e908")</f>
        <v>https://knigipp.ru/api/getInfo/image/de84c510-c107-11ee-a25a-00155d82e908</v>
      </c>
      <c r="AA1338" s="33">
        <v>12</v>
      </c>
      <c r="AB1338" s="5" t="s">
        <v>47</v>
      </c>
      <c r="AC1338" s="5" t="s">
        <v>96</v>
      </c>
      <c r="AD1338" s="5"/>
      <c r="AE1338" s="5" t="s">
        <v>49</v>
      </c>
      <c r="AF1338" s="5"/>
      <c r="AG1338" s="5"/>
      <c r="AH1338" s="5" t="s">
        <v>5508</v>
      </c>
    </row>
    <row r="1339" spans="2:35" ht="21" customHeight="1" outlineLevel="5" x14ac:dyDescent="0.2">
      <c r="B1339" s="42">
        <v>1022</v>
      </c>
      <c r="C1339" s="5" t="s">
        <v>5519</v>
      </c>
      <c r="D1339" s="5" t="s">
        <v>5520</v>
      </c>
      <c r="E1339" s="6" t="s">
        <v>5521</v>
      </c>
      <c r="F1339" s="10"/>
      <c r="G1339" s="11" t="s">
        <v>5505</v>
      </c>
      <c r="H1339" s="12">
        <v>50</v>
      </c>
      <c r="I1339" s="13" t="s">
        <v>261</v>
      </c>
      <c r="J1339" s="13"/>
      <c r="K1339" s="13"/>
      <c r="L1339" s="4">
        <v>15</v>
      </c>
      <c r="M1339" s="14">
        <f>37*(1-P3/100)</f>
        <v>37</v>
      </c>
      <c r="N1339" s="15"/>
      <c r="O1339" s="13">
        <f t="shared" si="51"/>
        <v>0</v>
      </c>
      <c r="P1339" s="13">
        <v>0</v>
      </c>
      <c r="Q1339" s="13">
        <v>0</v>
      </c>
      <c r="R1339" s="24"/>
      <c r="S1339" s="25" t="s">
        <v>5522</v>
      </c>
      <c r="T1339" s="25" t="s">
        <v>43</v>
      </c>
      <c r="U1339" s="5"/>
      <c r="V1339" s="5" t="s">
        <v>5523</v>
      </c>
      <c r="W1339" s="5" t="s">
        <v>46</v>
      </c>
      <c r="X1339" s="5"/>
      <c r="Y1339" s="5"/>
      <c r="Z1339" s="5" t="str">
        <f>HYPERLINK("https://knigipp.ru/api/getInfo/image/ceccd472-20a8-11ee-a23c-00155d82e902")</f>
        <v>https://knigipp.ru/api/getInfo/image/ceccd472-20a8-11ee-a23c-00155d82e902</v>
      </c>
      <c r="AA1339" s="33">
        <v>12</v>
      </c>
      <c r="AB1339" s="5" t="s">
        <v>47</v>
      </c>
      <c r="AC1339" s="5" t="s">
        <v>96</v>
      </c>
      <c r="AD1339" s="5"/>
      <c r="AE1339" s="5" t="s">
        <v>49</v>
      </c>
      <c r="AF1339" s="5"/>
      <c r="AG1339" s="5"/>
      <c r="AH1339" s="5" t="s">
        <v>5508</v>
      </c>
    </row>
    <row r="1340" spans="2:35" ht="21" customHeight="1" outlineLevel="5" x14ac:dyDescent="0.2">
      <c r="B1340" s="42">
        <v>1023</v>
      </c>
      <c r="C1340" s="5" t="s">
        <v>5524</v>
      </c>
      <c r="D1340" s="5" t="s">
        <v>5525</v>
      </c>
      <c r="E1340" s="6" t="s">
        <v>5526</v>
      </c>
      <c r="F1340" s="10"/>
      <c r="G1340" s="11" t="s">
        <v>5505</v>
      </c>
      <c r="H1340" s="12">
        <v>50</v>
      </c>
      <c r="I1340" s="13" t="s">
        <v>41</v>
      </c>
      <c r="J1340" s="13"/>
      <c r="K1340" s="13"/>
      <c r="L1340" s="4">
        <v>15</v>
      </c>
      <c r="M1340" s="14">
        <f>37*(1-P3/100)</f>
        <v>37</v>
      </c>
      <c r="N1340" s="15"/>
      <c r="O1340" s="13">
        <f t="shared" si="51"/>
        <v>0</v>
      </c>
      <c r="P1340" s="13">
        <v>0</v>
      </c>
      <c r="Q1340" s="13">
        <v>0</v>
      </c>
      <c r="R1340" s="24"/>
      <c r="S1340" s="25" t="s">
        <v>5527</v>
      </c>
      <c r="T1340" s="25" t="s">
        <v>43</v>
      </c>
      <c r="U1340" s="5"/>
      <c r="V1340" s="5" t="s">
        <v>5528</v>
      </c>
      <c r="W1340" s="5" t="s">
        <v>46</v>
      </c>
      <c r="X1340" s="5"/>
      <c r="Y1340" s="5"/>
      <c r="Z1340" s="5" t="str">
        <f>HYPERLINK("https://knigipp.ru/api/getInfo/image/f45eb062-20a8-11ee-a23c-00155d82e902")</f>
        <v>https://knigipp.ru/api/getInfo/image/f45eb062-20a8-11ee-a23c-00155d82e902</v>
      </c>
      <c r="AA1340" s="33">
        <v>12</v>
      </c>
      <c r="AB1340" s="5" t="s">
        <v>47</v>
      </c>
      <c r="AC1340" s="5" t="s">
        <v>96</v>
      </c>
      <c r="AD1340" s="5"/>
      <c r="AE1340" s="5" t="s">
        <v>49</v>
      </c>
      <c r="AF1340" s="5"/>
      <c r="AG1340" s="5"/>
      <c r="AH1340" s="5" t="s">
        <v>5508</v>
      </c>
    </row>
    <row r="1341" spans="2:35" ht="21" customHeight="1" outlineLevel="5" x14ac:dyDescent="0.2">
      <c r="B1341" s="42">
        <v>1024</v>
      </c>
      <c r="C1341" s="5" t="s">
        <v>5529</v>
      </c>
      <c r="D1341" s="5" t="s">
        <v>5530</v>
      </c>
      <c r="E1341" s="6" t="s">
        <v>5531</v>
      </c>
      <c r="F1341" s="10"/>
      <c r="G1341" s="11"/>
      <c r="H1341" s="12">
        <v>50</v>
      </c>
      <c r="I1341" s="13" t="s">
        <v>41</v>
      </c>
      <c r="J1341" s="13"/>
      <c r="K1341" s="13"/>
      <c r="L1341" s="4">
        <v>15</v>
      </c>
      <c r="M1341" s="14">
        <f>37*(1-P3/100)</f>
        <v>37</v>
      </c>
      <c r="N1341" s="15"/>
      <c r="O1341" s="13">
        <f t="shared" si="51"/>
        <v>0</v>
      </c>
      <c r="P1341" s="22">
        <f>0.034*N1341</f>
        <v>0</v>
      </c>
      <c r="Q1341" s="23">
        <f>0.00009*N1341</f>
        <v>0</v>
      </c>
      <c r="R1341" s="24"/>
      <c r="S1341" s="25" t="s">
        <v>5532</v>
      </c>
      <c r="T1341" s="25" t="s">
        <v>43</v>
      </c>
      <c r="U1341" s="5"/>
      <c r="V1341" s="5" t="s">
        <v>5533</v>
      </c>
      <c r="W1341" s="5" t="s">
        <v>46</v>
      </c>
      <c r="X1341" s="5" t="s">
        <v>323</v>
      </c>
      <c r="Y1341" s="5"/>
      <c r="Z1341" s="5" t="str">
        <f>HYPERLINK("https://knigipp.ru/api/getInfo/image/5e44e388-c108-11ee-a25a-00155d82e908")</f>
        <v>https://knigipp.ru/api/getInfo/image/5e44e388-c108-11ee-a25a-00155d82e908</v>
      </c>
      <c r="AA1341" s="33">
        <v>12</v>
      </c>
      <c r="AB1341" s="5" t="s">
        <v>47</v>
      </c>
      <c r="AC1341" s="5" t="s">
        <v>96</v>
      </c>
      <c r="AD1341" s="5"/>
      <c r="AE1341" s="5" t="s">
        <v>49</v>
      </c>
      <c r="AF1341" s="5"/>
      <c r="AG1341" s="5"/>
      <c r="AH1341" s="5" t="s">
        <v>5508</v>
      </c>
    </row>
    <row r="1342" spans="2:35" ht="21" customHeight="1" outlineLevel="5" x14ac:dyDescent="0.2">
      <c r="B1342" s="42">
        <v>1025</v>
      </c>
      <c r="C1342" s="5" t="s">
        <v>5534</v>
      </c>
      <c r="D1342" s="5" t="s">
        <v>5535</v>
      </c>
      <c r="E1342" s="6" t="s">
        <v>5536</v>
      </c>
      <c r="F1342" s="10"/>
      <c r="G1342" s="11" t="s">
        <v>5505</v>
      </c>
      <c r="H1342" s="12">
        <v>50</v>
      </c>
      <c r="I1342" s="13" t="s">
        <v>41</v>
      </c>
      <c r="J1342" s="13"/>
      <c r="K1342" s="13"/>
      <c r="L1342" s="4">
        <v>15</v>
      </c>
      <c r="M1342" s="14">
        <f>37*(1-P3/100)</f>
        <v>37</v>
      </c>
      <c r="N1342" s="15"/>
      <c r="O1342" s="13">
        <f t="shared" si="51"/>
        <v>0</v>
      </c>
      <c r="P1342" s="13">
        <v>0</v>
      </c>
      <c r="Q1342" s="13">
        <v>0</v>
      </c>
      <c r="R1342" s="24"/>
      <c r="S1342" s="25" t="s">
        <v>5537</v>
      </c>
      <c r="T1342" s="25" t="s">
        <v>43</v>
      </c>
      <c r="U1342" s="5"/>
      <c r="V1342" s="5" t="s">
        <v>5538</v>
      </c>
      <c r="W1342" s="5" t="s">
        <v>46</v>
      </c>
      <c r="X1342" s="5"/>
      <c r="Y1342" s="5"/>
      <c r="Z1342" s="5" t="str">
        <f>HYPERLINK("https://knigipp.ru/api/getInfo/image/1444949b-20a9-11ee-a23c-00155d82e902")</f>
        <v>https://knigipp.ru/api/getInfo/image/1444949b-20a9-11ee-a23c-00155d82e902</v>
      </c>
      <c r="AA1342" s="33">
        <v>12</v>
      </c>
      <c r="AB1342" s="5" t="s">
        <v>47</v>
      </c>
      <c r="AC1342" s="5" t="s">
        <v>96</v>
      </c>
      <c r="AD1342" s="5"/>
      <c r="AE1342" s="5" t="s">
        <v>49</v>
      </c>
      <c r="AF1342" s="5"/>
      <c r="AG1342" s="5"/>
      <c r="AH1342" s="5" t="s">
        <v>5508</v>
      </c>
    </row>
    <row r="1343" spans="2:35" ht="21" customHeight="1" outlineLevel="5" x14ac:dyDescent="0.2">
      <c r="B1343" s="42">
        <v>1026</v>
      </c>
      <c r="C1343" s="5" t="s">
        <v>5539</v>
      </c>
      <c r="D1343" s="5" t="s">
        <v>5540</v>
      </c>
      <c r="E1343" s="6" t="s">
        <v>5541</v>
      </c>
      <c r="F1343" s="10"/>
      <c r="G1343" s="11" t="s">
        <v>5505</v>
      </c>
      <c r="H1343" s="12">
        <v>50</v>
      </c>
      <c r="I1343" s="13" t="s">
        <v>41</v>
      </c>
      <c r="J1343" s="13"/>
      <c r="K1343" s="13"/>
      <c r="L1343" s="4">
        <v>15</v>
      </c>
      <c r="M1343" s="14">
        <f>37*(1-P3/100)</f>
        <v>37</v>
      </c>
      <c r="N1343" s="15"/>
      <c r="O1343" s="13">
        <f t="shared" si="51"/>
        <v>0</v>
      </c>
      <c r="P1343" s="22">
        <f>0.034*N1343</f>
        <v>0</v>
      </c>
      <c r="Q1343" s="23">
        <f>0.00009*N1343</f>
        <v>0</v>
      </c>
      <c r="R1343" s="24"/>
      <c r="S1343" s="25" t="s">
        <v>5542</v>
      </c>
      <c r="T1343" s="25" t="s">
        <v>43</v>
      </c>
      <c r="U1343" s="5"/>
      <c r="V1343" s="5" t="s">
        <v>5543</v>
      </c>
      <c r="W1343" s="5" t="s">
        <v>46</v>
      </c>
      <c r="X1343" s="5"/>
      <c r="Y1343" s="5"/>
      <c r="Z1343" s="5" t="str">
        <f>HYPERLINK("https://knigipp.ru/api/getInfo/image/8ed6adbd-20a6-11ee-a23c-00155d82e902")</f>
        <v>https://knigipp.ru/api/getInfo/image/8ed6adbd-20a6-11ee-a23c-00155d82e902</v>
      </c>
      <c r="AA1343" s="33">
        <v>12</v>
      </c>
      <c r="AB1343" s="5" t="s">
        <v>47</v>
      </c>
      <c r="AC1343" s="5" t="s">
        <v>96</v>
      </c>
      <c r="AD1343" s="5"/>
      <c r="AE1343" s="5" t="s">
        <v>49</v>
      </c>
      <c r="AF1343" s="5"/>
      <c r="AG1343" s="5"/>
      <c r="AH1343" s="5" t="s">
        <v>5508</v>
      </c>
    </row>
    <row r="1344" spans="2:35" ht="21" customHeight="1" outlineLevel="5" x14ac:dyDescent="0.2">
      <c r="B1344" s="42">
        <v>1027</v>
      </c>
      <c r="C1344" s="5" t="s">
        <v>5544</v>
      </c>
      <c r="D1344" s="5" t="s">
        <v>5545</v>
      </c>
      <c r="E1344" s="6" t="s">
        <v>5546</v>
      </c>
      <c r="F1344" s="10"/>
      <c r="G1344" s="11" t="s">
        <v>5505</v>
      </c>
      <c r="H1344" s="12">
        <v>50</v>
      </c>
      <c r="I1344" s="13" t="s">
        <v>41</v>
      </c>
      <c r="J1344" s="13"/>
      <c r="K1344" s="13"/>
      <c r="L1344" s="4">
        <v>15</v>
      </c>
      <c r="M1344" s="14">
        <f>37*(1-P3/100)</f>
        <v>37</v>
      </c>
      <c r="N1344" s="15"/>
      <c r="O1344" s="13">
        <f t="shared" si="51"/>
        <v>0</v>
      </c>
      <c r="P1344" s="13">
        <v>0</v>
      </c>
      <c r="Q1344" s="13">
        <v>0</v>
      </c>
      <c r="R1344" s="24"/>
      <c r="S1344" s="25" t="s">
        <v>5547</v>
      </c>
      <c r="T1344" s="25" t="s">
        <v>43</v>
      </c>
      <c r="U1344" s="5"/>
      <c r="V1344" s="5" t="s">
        <v>5548</v>
      </c>
      <c r="W1344" s="5" t="s">
        <v>46</v>
      </c>
      <c r="X1344" s="5"/>
      <c r="Y1344" s="5"/>
      <c r="Z1344" s="5" t="str">
        <f>HYPERLINK("https://knigipp.ru/api/getInfo/image/368f3422-20a9-11ee-a23c-00155d82e902")</f>
        <v>https://knigipp.ru/api/getInfo/image/368f3422-20a9-11ee-a23c-00155d82e902</v>
      </c>
      <c r="AA1344" s="33">
        <v>12</v>
      </c>
      <c r="AB1344" s="5" t="s">
        <v>47</v>
      </c>
      <c r="AC1344" s="5" t="s">
        <v>96</v>
      </c>
      <c r="AD1344" s="5"/>
      <c r="AE1344" s="5" t="s">
        <v>49</v>
      </c>
      <c r="AF1344" s="5"/>
      <c r="AG1344" s="5"/>
      <c r="AH1344" s="5" t="s">
        <v>5508</v>
      </c>
    </row>
    <row r="1345" spans="2:34" ht="21" customHeight="1" outlineLevel="5" x14ac:dyDescent="0.2">
      <c r="B1345" s="42">
        <v>1028</v>
      </c>
      <c r="C1345" s="5" t="s">
        <v>5549</v>
      </c>
      <c r="D1345" s="5" t="s">
        <v>5550</v>
      </c>
      <c r="E1345" s="6" t="s">
        <v>5551</v>
      </c>
      <c r="F1345" s="10"/>
      <c r="G1345" s="11" t="s">
        <v>5505</v>
      </c>
      <c r="H1345" s="12">
        <v>50</v>
      </c>
      <c r="I1345" s="13" t="s">
        <v>41</v>
      </c>
      <c r="J1345" s="13"/>
      <c r="K1345" s="13"/>
      <c r="L1345" s="4">
        <v>15</v>
      </c>
      <c r="M1345" s="14">
        <f>37*(1-P3/100)</f>
        <v>37</v>
      </c>
      <c r="N1345" s="15"/>
      <c r="O1345" s="13">
        <f t="shared" si="51"/>
        <v>0</v>
      </c>
      <c r="P1345" s="22">
        <f>0.034*N1345</f>
        <v>0</v>
      </c>
      <c r="Q1345" s="23">
        <f>0.00009*N1345</f>
        <v>0</v>
      </c>
      <c r="R1345" s="24"/>
      <c r="S1345" s="25" t="s">
        <v>5552</v>
      </c>
      <c r="T1345" s="25" t="s">
        <v>43</v>
      </c>
      <c r="U1345" s="5"/>
      <c r="V1345" s="5" t="s">
        <v>5553</v>
      </c>
      <c r="W1345" s="5" t="s">
        <v>46</v>
      </c>
      <c r="X1345" s="5"/>
      <c r="Y1345" s="5"/>
      <c r="Z1345" s="5" t="str">
        <f>HYPERLINK("https://knigipp.ru/api/getInfo/image/b5868d7f-20a6-11ee-a23c-00155d82e902")</f>
        <v>https://knigipp.ru/api/getInfo/image/b5868d7f-20a6-11ee-a23c-00155d82e902</v>
      </c>
      <c r="AA1345" s="33">
        <v>12</v>
      </c>
      <c r="AB1345" s="5" t="s">
        <v>47</v>
      </c>
      <c r="AC1345" s="5" t="s">
        <v>96</v>
      </c>
      <c r="AD1345" s="5"/>
      <c r="AE1345" s="5" t="s">
        <v>49</v>
      </c>
      <c r="AF1345" s="5"/>
      <c r="AG1345" s="5"/>
      <c r="AH1345" s="5" t="s">
        <v>5508</v>
      </c>
    </row>
    <row r="1346" spans="2:34" ht="21" customHeight="1" outlineLevel="5" x14ac:dyDescent="0.2">
      <c r="B1346" s="42">
        <v>1029</v>
      </c>
      <c r="C1346" s="5" t="s">
        <v>5554</v>
      </c>
      <c r="D1346" s="5" t="s">
        <v>5555</v>
      </c>
      <c r="E1346" s="6" t="s">
        <v>5556</v>
      </c>
      <c r="F1346" s="10"/>
      <c r="G1346" s="11"/>
      <c r="H1346" s="12">
        <v>50</v>
      </c>
      <c r="I1346" s="13" t="s">
        <v>41</v>
      </c>
      <c r="J1346" s="13"/>
      <c r="K1346" s="13"/>
      <c r="L1346" s="4">
        <v>15</v>
      </c>
      <c r="M1346" s="14">
        <f>37*(1-P3/100)</f>
        <v>37</v>
      </c>
      <c r="N1346" s="15"/>
      <c r="O1346" s="13">
        <f t="shared" si="51"/>
        <v>0</v>
      </c>
      <c r="P1346" s="13">
        <v>0</v>
      </c>
      <c r="Q1346" s="13">
        <v>0</v>
      </c>
      <c r="R1346" s="24"/>
      <c r="S1346" s="25" t="s">
        <v>5557</v>
      </c>
      <c r="T1346" s="25" t="s">
        <v>43</v>
      </c>
      <c r="U1346" s="5"/>
      <c r="V1346" s="5" t="s">
        <v>5558</v>
      </c>
      <c r="W1346" s="5" t="s">
        <v>46</v>
      </c>
      <c r="X1346" s="5" t="s">
        <v>323</v>
      </c>
      <c r="Y1346" s="5"/>
      <c r="Z1346" s="5" t="str">
        <f>HYPERLINK("https://knigipp.ru/api/getInfo/image/dbf9070b-c106-11ee-a25a-00155d82e908")</f>
        <v>https://knigipp.ru/api/getInfo/image/dbf9070b-c106-11ee-a25a-00155d82e908</v>
      </c>
      <c r="AA1346" s="33">
        <v>12</v>
      </c>
      <c r="AB1346" s="5" t="s">
        <v>47</v>
      </c>
      <c r="AC1346" s="5" t="s">
        <v>96</v>
      </c>
      <c r="AD1346" s="5"/>
      <c r="AE1346" s="5" t="s">
        <v>49</v>
      </c>
      <c r="AF1346" s="5"/>
      <c r="AG1346" s="5"/>
      <c r="AH1346" s="5" t="s">
        <v>5508</v>
      </c>
    </row>
    <row r="1347" spans="2:34" ht="22.95" customHeight="1" outlineLevel="4" x14ac:dyDescent="0.2">
      <c r="B1347" s="75" t="s">
        <v>5559</v>
      </c>
      <c r="C1347" s="75"/>
      <c r="D1347" s="75"/>
    </row>
    <row r="1348" spans="2:34" ht="21" customHeight="1" outlineLevel="5" x14ac:dyDescent="0.2">
      <c r="B1348" s="42">
        <v>1030</v>
      </c>
      <c r="C1348" s="5" t="s">
        <v>5560</v>
      </c>
      <c r="D1348" s="5" t="s">
        <v>5561</v>
      </c>
      <c r="E1348" s="6" t="s">
        <v>5562</v>
      </c>
      <c r="F1348" s="10"/>
      <c r="G1348" s="11" t="s">
        <v>5563</v>
      </c>
      <c r="H1348" s="12">
        <v>50</v>
      </c>
      <c r="I1348" s="13" t="s">
        <v>261</v>
      </c>
      <c r="J1348" s="13"/>
      <c r="K1348" s="13"/>
      <c r="L1348" s="4">
        <v>15</v>
      </c>
      <c r="M1348" s="14">
        <f>39*(1-P3/100)</f>
        <v>39</v>
      </c>
      <c r="N1348" s="15"/>
      <c r="O1348" s="13">
        <f t="shared" ref="O1348:O1368" si="52">M1348*N1348</f>
        <v>0</v>
      </c>
      <c r="P1348" s="22">
        <f>0.057*N1348</f>
        <v>0</v>
      </c>
      <c r="Q1348" s="23">
        <f>0.00011*N1348</f>
        <v>0</v>
      </c>
      <c r="R1348" s="24"/>
      <c r="S1348" s="25" t="s">
        <v>5564</v>
      </c>
      <c r="T1348" s="25" t="s">
        <v>43</v>
      </c>
      <c r="U1348" s="5"/>
      <c r="V1348" s="5"/>
      <c r="W1348" s="5" t="s">
        <v>46</v>
      </c>
      <c r="X1348" s="5"/>
      <c r="Y1348" s="5"/>
      <c r="Z1348" s="5" t="str">
        <f>HYPERLINK("https://knigipp.ru/api/getInfo/image/4c1397f2-3b1b-11ec-a20f-ac1f6b442185")</f>
        <v>https://knigipp.ru/api/getInfo/image/4c1397f2-3b1b-11ec-a20f-ac1f6b442185</v>
      </c>
      <c r="AA1348" s="33">
        <v>16</v>
      </c>
      <c r="AB1348" s="5"/>
      <c r="AC1348" s="5" t="s">
        <v>96</v>
      </c>
      <c r="AD1348" s="5"/>
      <c r="AE1348" s="5" t="s">
        <v>49</v>
      </c>
      <c r="AF1348" s="5"/>
      <c r="AG1348" s="5" t="s">
        <v>5565</v>
      </c>
      <c r="AH1348" s="5" t="s">
        <v>472</v>
      </c>
    </row>
    <row r="1349" spans="2:34" ht="21" customHeight="1" outlineLevel="5" x14ac:dyDescent="0.2">
      <c r="B1349" s="42">
        <v>1031</v>
      </c>
      <c r="C1349" s="5" t="s">
        <v>5566</v>
      </c>
      <c r="D1349" s="5" t="s">
        <v>5567</v>
      </c>
      <c r="E1349" s="6" t="s">
        <v>5568</v>
      </c>
      <c r="F1349" s="10"/>
      <c r="G1349" s="11" t="s">
        <v>5563</v>
      </c>
      <c r="H1349" s="12">
        <v>50</v>
      </c>
      <c r="I1349" s="13" t="s">
        <v>41</v>
      </c>
      <c r="J1349" s="13"/>
      <c r="K1349" s="13"/>
      <c r="L1349" s="4">
        <v>15</v>
      </c>
      <c r="M1349" s="14">
        <f>39*(1-P3/100)</f>
        <v>39</v>
      </c>
      <c r="N1349" s="15"/>
      <c r="O1349" s="13">
        <f t="shared" si="52"/>
        <v>0</v>
      </c>
      <c r="P1349" s="13">
        <v>0</v>
      </c>
      <c r="Q1349" s="13">
        <v>0</v>
      </c>
      <c r="R1349" s="24"/>
      <c r="S1349" s="25" t="s">
        <v>5569</v>
      </c>
      <c r="T1349" s="25" t="s">
        <v>43</v>
      </c>
      <c r="U1349" s="5"/>
      <c r="V1349" s="5"/>
      <c r="W1349" s="5" t="s">
        <v>46</v>
      </c>
      <c r="X1349" s="5"/>
      <c r="Y1349" s="5"/>
      <c r="Z1349" s="5" t="str">
        <f>HYPERLINK("https://knigipp.ru/api/getInfo/image/54d3b7b3-52a1-11ec-a20f-ac1f6b442185")</f>
        <v>https://knigipp.ru/api/getInfo/image/54d3b7b3-52a1-11ec-a20f-ac1f6b442185</v>
      </c>
      <c r="AA1349" s="33">
        <v>16</v>
      </c>
      <c r="AB1349" s="5"/>
      <c r="AC1349" s="5" t="s">
        <v>96</v>
      </c>
      <c r="AD1349" s="5"/>
      <c r="AE1349" s="5" t="s">
        <v>49</v>
      </c>
      <c r="AF1349" s="5"/>
      <c r="AG1349" s="5" t="s">
        <v>5565</v>
      </c>
      <c r="AH1349" s="5" t="s">
        <v>472</v>
      </c>
    </row>
    <row r="1350" spans="2:34" ht="21" customHeight="1" outlineLevel="5" x14ac:dyDescent="0.2">
      <c r="B1350" s="42">
        <v>1032</v>
      </c>
      <c r="C1350" s="5" t="s">
        <v>5570</v>
      </c>
      <c r="D1350" s="5" t="s">
        <v>5571</v>
      </c>
      <c r="E1350" s="6" t="s">
        <v>5572</v>
      </c>
      <c r="F1350" s="10"/>
      <c r="G1350" s="11" t="s">
        <v>5563</v>
      </c>
      <c r="H1350" s="12">
        <v>50</v>
      </c>
      <c r="I1350" s="13" t="s">
        <v>371</v>
      </c>
      <c r="J1350" s="13"/>
      <c r="K1350" s="13"/>
      <c r="L1350" s="4">
        <v>15</v>
      </c>
      <c r="M1350" s="14">
        <f>39*(1-P3/100)</f>
        <v>39</v>
      </c>
      <c r="N1350" s="15"/>
      <c r="O1350" s="13">
        <f t="shared" si="52"/>
        <v>0</v>
      </c>
      <c r="P1350" s="22">
        <f>0.057*N1350</f>
        <v>0</v>
      </c>
      <c r="Q1350" s="23">
        <f>0.00011*N1350</f>
        <v>0</v>
      </c>
      <c r="R1350" s="24"/>
      <c r="S1350" s="25" t="s">
        <v>5573</v>
      </c>
      <c r="T1350" s="25" t="s">
        <v>43</v>
      </c>
      <c r="U1350" s="5"/>
      <c r="V1350" s="5"/>
      <c r="W1350" s="5" t="s">
        <v>46</v>
      </c>
      <c r="X1350" s="5"/>
      <c r="Y1350" s="5"/>
      <c r="Z1350" s="5" t="str">
        <f>HYPERLINK("https://knigipp.ru/api/getInfo/image/39613df5-d0d3-11ea-a24a-ac1f6b442184")</f>
        <v>https://knigipp.ru/api/getInfo/image/39613df5-d0d3-11ea-a24a-ac1f6b442184</v>
      </c>
      <c r="AA1350" s="33">
        <v>16</v>
      </c>
      <c r="AB1350" s="5"/>
      <c r="AC1350" s="5" t="s">
        <v>96</v>
      </c>
      <c r="AD1350" s="5"/>
      <c r="AE1350" s="5" t="s">
        <v>49</v>
      </c>
      <c r="AF1350" s="5"/>
      <c r="AG1350" s="5" t="s">
        <v>5565</v>
      </c>
      <c r="AH1350" s="5" t="s">
        <v>472</v>
      </c>
    </row>
    <row r="1351" spans="2:34" ht="21" customHeight="1" outlineLevel="5" x14ac:dyDescent="0.2">
      <c r="B1351" s="42">
        <v>1033</v>
      </c>
      <c r="C1351" s="5" t="s">
        <v>5574</v>
      </c>
      <c r="D1351" s="5" t="s">
        <v>5575</v>
      </c>
      <c r="E1351" s="6" t="s">
        <v>5576</v>
      </c>
      <c r="F1351" s="10"/>
      <c r="G1351" s="11" t="s">
        <v>5563</v>
      </c>
      <c r="H1351" s="12">
        <v>50</v>
      </c>
      <c r="I1351" s="13" t="s">
        <v>261</v>
      </c>
      <c r="J1351" s="13"/>
      <c r="K1351" s="13"/>
      <c r="L1351" s="4">
        <v>15</v>
      </c>
      <c r="M1351" s="14">
        <f>39*(1-P3/100)</f>
        <v>39</v>
      </c>
      <c r="N1351" s="15"/>
      <c r="O1351" s="13">
        <f t="shared" si="52"/>
        <v>0</v>
      </c>
      <c r="P1351" s="22">
        <f>0.057*N1351</f>
        <v>0</v>
      </c>
      <c r="Q1351" s="23">
        <f>0.00011*N1351</f>
        <v>0</v>
      </c>
      <c r="R1351" s="24"/>
      <c r="S1351" s="25" t="s">
        <v>5577</v>
      </c>
      <c r="T1351" s="25" t="s">
        <v>43</v>
      </c>
      <c r="U1351" s="5"/>
      <c r="V1351" s="5"/>
      <c r="W1351" s="5" t="s">
        <v>46</v>
      </c>
      <c r="X1351" s="5"/>
      <c r="Y1351" s="5"/>
      <c r="Z1351" s="5" t="str">
        <f>HYPERLINK("https://knigipp.ru/api/getInfo/image/8c1af99a-3b1b-11ec-a20f-ac1f6b442185")</f>
        <v>https://knigipp.ru/api/getInfo/image/8c1af99a-3b1b-11ec-a20f-ac1f6b442185</v>
      </c>
      <c r="AA1351" s="33">
        <v>16</v>
      </c>
      <c r="AB1351" s="5"/>
      <c r="AC1351" s="5" t="s">
        <v>96</v>
      </c>
      <c r="AD1351" s="5"/>
      <c r="AE1351" s="5" t="s">
        <v>49</v>
      </c>
      <c r="AF1351" s="5"/>
      <c r="AG1351" s="5" t="s">
        <v>5565</v>
      </c>
      <c r="AH1351" s="5" t="s">
        <v>472</v>
      </c>
    </row>
    <row r="1352" spans="2:34" ht="21" customHeight="1" outlineLevel="5" x14ac:dyDescent="0.2">
      <c r="B1352" s="42">
        <v>1034</v>
      </c>
      <c r="C1352" s="5" t="s">
        <v>5578</v>
      </c>
      <c r="D1352" s="5" t="s">
        <v>5579</v>
      </c>
      <c r="E1352" s="6" t="s">
        <v>5580</v>
      </c>
      <c r="F1352" s="10"/>
      <c r="G1352" s="11" t="s">
        <v>5563</v>
      </c>
      <c r="H1352" s="12">
        <v>50</v>
      </c>
      <c r="I1352" s="13" t="s">
        <v>261</v>
      </c>
      <c r="J1352" s="13"/>
      <c r="K1352" s="13"/>
      <c r="L1352" s="4">
        <v>15</v>
      </c>
      <c r="M1352" s="14">
        <f>39*(1-P3/100)</f>
        <v>39</v>
      </c>
      <c r="N1352" s="15"/>
      <c r="O1352" s="13">
        <f t="shared" si="52"/>
        <v>0</v>
      </c>
      <c r="P1352" s="22">
        <f>0.061*N1352</f>
        <v>0</v>
      </c>
      <c r="Q1352" s="23">
        <f>0.00022*N1352</f>
        <v>0</v>
      </c>
      <c r="R1352" s="24"/>
      <c r="S1352" s="25" t="s">
        <v>5581</v>
      </c>
      <c r="T1352" s="25" t="s">
        <v>43</v>
      </c>
      <c r="U1352" s="5"/>
      <c r="V1352" s="5"/>
      <c r="W1352" s="5" t="s">
        <v>46</v>
      </c>
      <c r="X1352" s="5"/>
      <c r="Y1352" s="5"/>
      <c r="Z1352" s="5" t="str">
        <f>HYPERLINK("https://knigipp.ru/api/getInfo/image/a3b34fb5-bf63-11ee-a25a-00155d82e908")</f>
        <v>https://knigipp.ru/api/getInfo/image/a3b34fb5-bf63-11ee-a25a-00155d82e908</v>
      </c>
      <c r="AA1352" s="33">
        <v>16</v>
      </c>
      <c r="AB1352" s="5"/>
      <c r="AC1352" s="5" t="s">
        <v>96</v>
      </c>
      <c r="AD1352" s="5"/>
      <c r="AE1352" s="5" t="s">
        <v>49</v>
      </c>
      <c r="AF1352" s="5"/>
      <c r="AG1352" s="5" t="s">
        <v>5565</v>
      </c>
      <c r="AH1352" s="5" t="s">
        <v>472</v>
      </c>
    </row>
    <row r="1353" spans="2:34" ht="21" customHeight="1" outlineLevel="5" x14ac:dyDescent="0.2">
      <c r="B1353" s="42">
        <v>1035</v>
      </c>
      <c r="C1353" s="5" t="s">
        <v>5582</v>
      </c>
      <c r="D1353" s="5" t="s">
        <v>5583</v>
      </c>
      <c r="E1353" s="6" t="s">
        <v>5584</v>
      </c>
      <c r="F1353" s="10"/>
      <c r="G1353" s="11" t="s">
        <v>5563</v>
      </c>
      <c r="H1353" s="12">
        <v>50</v>
      </c>
      <c r="I1353" s="13" t="s">
        <v>261</v>
      </c>
      <c r="J1353" s="13"/>
      <c r="K1353" s="13"/>
      <c r="L1353" s="4">
        <v>15</v>
      </c>
      <c r="M1353" s="14">
        <f>39*(1-P3/100)</f>
        <v>39</v>
      </c>
      <c r="N1353" s="15"/>
      <c r="O1353" s="13">
        <f t="shared" si="52"/>
        <v>0</v>
      </c>
      <c r="P1353" s="13">
        <v>0</v>
      </c>
      <c r="Q1353" s="13">
        <v>0</v>
      </c>
      <c r="R1353" s="24"/>
      <c r="S1353" s="25" t="s">
        <v>5585</v>
      </c>
      <c r="T1353" s="25" t="s">
        <v>43</v>
      </c>
      <c r="U1353" s="5"/>
      <c r="V1353" s="5"/>
      <c r="W1353" s="5" t="s">
        <v>46</v>
      </c>
      <c r="X1353" s="5"/>
      <c r="Y1353" s="5"/>
      <c r="Z1353" s="5" t="str">
        <f>HYPERLINK("https://knigipp.ru/api/getInfo/image/df5b81cf-f93f-11ec-a213-ac1f6b442185")</f>
        <v>https://knigipp.ru/api/getInfo/image/df5b81cf-f93f-11ec-a213-ac1f6b442185</v>
      </c>
      <c r="AA1353" s="33">
        <v>16</v>
      </c>
      <c r="AB1353" s="5"/>
      <c r="AC1353" s="5" t="s">
        <v>96</v>
      </c>
      <c r="AD1353" s="5"/>
      <c r="AE1353" s="5" t="s">
        <v>49</v>
      </c>
      <c r="AF1353" s="5"/>
      <c r="AG1353" s="5" t="s">
        <v>5565</v>
      </c>
      <c r="AH1353" s="5" t="s">
        <v>472</v>
      </c>
    </row>
    <row r="1354" spans="2:34" ht="21" customHeight="1" outlineLevel="5" x14ac:dyDescent="0.2">
      <c r="B1354" s="42">
        <v>1036</v>
      </c>
      <c r="C1354" s="5" t="s">
        <v>5586</v>
      </c>
      <c r="D1354" s="5" t="s">
        <v>5587</v>
      </c>
      <c r="E1354" s="6" t="s">
        <v>5588</v>
      </c>
      <c r="F1354" s="10"/>
      <c r="G1354" s="11" t="s">
        <v>5563</v>
      </c>
      <c r="H1354" s="12">
        <v>50</v>
      </c>
      <c r="I1354" s="13" t="s">
        <v>261</v>
      </c>
      <c r="J1354" s="13"/>
      <c r="K1354" s="13"/>
      <c r="L1354" s="4">
        <v>15</v>
      </c>
      <c r="M1354" s="14">
        <f>39*(1-P3/100)</f>
        <v>39</v>
      </c>
      <c r="N1354" s="15"/>
      <c r="O1354" s="13">
        <f t="shared" si="52"/>
        <v>0</v>
      </c>
      <c r="P1354" s="22">
        <f>0.056*N1354</f>
        <v>0</v>
      </c>
      <c r="Q1354" s="23">
        <f>0.00012*N1354</f>
        <v>0</v>
      </c>
      <c r="R1354" s="24"/>
      <c r="S1354" s="25" t="s">
        <v>5589</v>
      </c>
      <c r="T1354" s="25" t="s">
        <v>43</v>
      </c>
      <c r="U1354" s="5"/>
      <c r="V1354" s="5"/>
      <c r="W1354" s="5" t="s">
        <v>46</v>
      </c>
      <c r="X1354" s="5"/>
      <c r="Y1354" s="5"/>
      <c r="Z1354" s="5" t="str">
        <f>HYPERLINK("https://knigipp.ru/api/getInfo/image/66e5d4d2-d0d3-11ea-a24a-ac1f6b442184")</f>
        <v>https://knigipp.ru/api/getInfo/image/66e5d4d2-d0d3-11ea-a24a-ac1f6b442184</v>
      </c>
      <c r="AA1354" s="33">
        <v>16</v>
      </c>
      <c r="AB1354" s="5"/>
      <c r="AC1354" s="5" t="s">
        <v>96</v>
      </c>
      <c r="AD1354" s="5"/>
      <c r="AE1354" s="5" t="s">
        <v>49</v>
      </c>
      <c r="AF1354" s="5"/>
      <c r="AG1354" s="5" t="s">
        <v>5565</v>
      </c>
      <c r="AH1354" s="5" t="s">
        <v>472</v>
      </c>
    </row>
    <row r="1355" spans="2:34" ht="21" customHeight="1" outlineLevel="5" x14ac:dyDescent="0.2">
      <c r="B1355" s="42">
        <v>1037</v>
      </c>
      <c r="C1355" s="5" t="s">
        <v>5590</v>
      </c>
      <c r="D1355" s="5" t="s">
        <v>5591</v>
      </c>
      <c r="E1355" s="6" t="s">
        <v>5592</v>
      </c>
      <c r="F1355" s="10"/>
      <c r="G1355" s="11" t="s">
        <v>5563</v>
      </c>
      <c r="H1355" s="12">
        <v>50</v>
      </c>
      <c r="I1355" s="13" t="s">
        <v>261</v>
      </c>
      <c r="J1355" s="13"/>
      <c r="K1355" s="13"/>
      <c r="L1355" s="4">
        <v>15</v>
      </c>
      <c r="M1355" s="14">
        <f>39*(1-P3/100)</f>
        <v>39</v>
      </c>
      <c r="N1355" s="15"/>
      <c r="O1355" s="13">
        <f t="shared" si="52"/>
        <v>0</v>
      </c>
      <c r="P1355" s="22">
        <f>0.056*N1355</f>
        <v>0</v>
      </c>
      <c r="Q1355" s="23">
        <f>0.00012*N1355</f>
        <v>0</v>
      </c>
      <c r="R1355" s="24"/>
      <c r="S1355" s="25" t="s">
        <v>5593</v>
      </c>
      <c r="T1355" s="25" t="s">
        <v>43</v>
      </c>
      <c r="U1355" s="5"/>
      <c r="V1355" s="5"/>
      <c r="W1355" s="5" t="s">
        <v>46</v>
      </c>
      <c r="X1355" s="5" t="s">
        <v>5594</v>
      </c>
      <c r="Y1355" s="5"/>
      <c r="Z1355" s="5" t="str">
        <f>HYPERLINK("https://knigipp.ru/api/getInfo/image/6c25dc28-2b7a-11e8-ba06-5cf3fc4a2490")</f>
        <v>https://knigipp.ru/api/getInfo/image/6c25dc28-2b7a-11e8-ba06-5cf3fc4a2490</v>
      </c>
      <c r="AA1355" s="33">
        <v>16</v>
      </c>
      <c r="AB1355" s="5"/>
      <c r="AC1355" s="5" t="s">
        <v>96</v>
      </c>
      <c r="AD1355" s="5"/>
      <c r="AE1355" s="5" t="s">
        <v>49</v>
      </c>
      <c r="AF1355" s="5"/>
      <c r="AG1355" s="5" t="s">
        <v>5565</v>
      </c>
      <c r="AH1355" s="5" t="s">
        <v>472</v>
      </c>
    </row>
    <row r="1356" spans="2:34" ht="21" customHeight="1" outlineLevel="5" x14ac:dyDescent="0.2">
      <c r="B1356" s="42">
        <v>1038</v>
      </c>
      <c r="C1356" s="5" t="s">
        <v>5595</v>
      </c>
      <c r="D1356" s="5" t="s">
        <v>5596</v>
      </c>
      <c r="E1356" s="6" t="s">
        <v>5597</v>
      </c>
      <c r="F1356" s="10"/>
      <c r="G1356" s="11" t="s">
        <v>5563</v>
      </c>
      <c r="H1356" s="12">
        <v>50</v>
      </c>
      <c r="I1356" s="13" t="s">
        <v>261</v>
      </c>
      <c r="J1356" s="13"/>
      <c r="K1356" s="13"/>
      <c r="L1356" s="4">
        <v>15</v>
      </c>
      <c r="M1356" s="14">
        <f>39*(1-P3/100)</f>
        <v>39</v>
      </c>
      <c r="N1356" s="15"/>
      <c r="O1356" s="13">
        <f t="shared" si="52"/>
        <v>0</v>
      </c>
      <c r="P1356" s="22">
        <f>0.056*N1356</f>
        <v>0</v>
      </c>
      <c r="Q1356" s="23">
        <f>0.00053*N1356</f>
        <v>0</v>
      </c>
      <c r="R1356" s="24"/>
      <c r="S1356" s="25" t="s">
        <v>5598</v>
      </c>
      <c r="T1356" s="25" t="s">
        <v>43</v>
      </c>
      <c r="U1356" s="5"/>
      <c r="V1356" s="5"/>
      <c r="W1356" s="5" t="s">
        <v>46</v>
      </c>
      <c r="X1356" s="5"/>
      <c r="Y1356" s="5"/>
      <c r="Z1356" s="5" t="str">
        <f>HYPERLINK("https://knigipp.ru/api/getInfo/image/b6e4a68f-27be-11ee-a23d-00155d82e902")</f>
        <v>https://knigipp.ru/api/getInfo/image/b6e4a68f-27be-11ee-a23d-00155d82e902</v>
      </c>
      <c r="AA1356" s="33">
        <v>16</v>
      </c>
      <c r="AB1356" s="5"/>
      <c r="AC1356" s="5" t="s">
        <v>96</v>
      </c>
      <c r="AD1356" s="5"/>
      <c r="AE1356" s="5" t="s">
        <v>49</v>
      </c>
      <c r="AF1356" s="5"/>
      <c r="AG1356" s="5" t="s">
        <v>5565</v>
      </c>
      <c r="AH1356" s="5" t="s">
        <v>472</v>
      </c>
    </row>
    <row r="1357" spans="2:34" ht="21" customHeight="1" outlineLevel="5" x14ac:dyDescent="0.2">
      <c r="B1357" s="42">
        <v>1039</v>
      </c>
      <c r="C1357" s="5" t="s">
        <v>5599</v>
      </c>
      <c r="D1357" s="5" t="s">
        <v>5600</v>
      </c>
      <c r="E1357" s="6" t="s">
        <v>5601</v>
      </c>
      <c r="F1357" s="10"/>
      <c r="G1357" s="11" t="s">
        <v>5563</v>
      </c>
      <c r="H1357" s="12">
        <v>50</v>
      </c>
      <c r="I1357" s="13" t="s">
        <v>261</v>
      </c>
      <c r="J1357" s="13"/>
      <c r="K1357" s="13"/>
      <c r="L1357" s="4">
        <v>15</v>
      </c>
      <c r="M1357" s="14">
        <f>39*(1-P3/100)</f>
        <v>39</v>
      </c>
      <c r="N1357" s="15"/>
      <c r="O1357" s="13">
        <f t="shared" si="52"/>
        <v>0</v>
      </c>
      <c r="P1357" s="22">
        <f>0.057*N1357</f>
        <v>0</v>
      </c>
      <c r="Q1357" s="23">
        <f>0.00011*N1357</f>
        <v>0</v>
      </c>
      <c r="R1357" s="24"/>
      <c r="S1357" s="25" t="s">
        <v>5602</v>
      </c>
      <c r="T1357" s="25" t="s">
        <v>43</v>
      </c>
      <c r="U1357" s="5"/>
      <c r="V1357" s="5"/>
      <c r="W1357" s="5" t="s">
        <v>46</v>
      </c>
      <c r="X1357" s="5"/>
      <c r="Y1357" s="5"/>
      <c r="Z1357" s="5" t="str">
        <f>HYPERLINK("https://knigipp.ru/api/getInfo/image/cd5c9027-d94a-11e9-a234-ac1f6b442184")</f>
        <v>https://knigipp.ru/api/getInfo/image/cd5c9027-d94a-11e9-a234-ac1f6b442184</v>
      </c>
      <c r="AA1357" s="33">
        <v>16</v>
      </c>
      <c r="AB1357" s="5"/>
      <c r="AC1357" s="5" t="s">
        <v>96</v>
      </c>
      <c r="AD1357" s="5"/>
      <c r="AE1357" s="5" t="s">
        <v>49</v>
      </c>
      <c r="AF1357" s="5"/>
      <c r="AG1357" s="5" t="s">
        <v>5565</v>
      </c>
      <c r="AH1357" s="5" t="s">
        <v>472</v>
      </c>
    </row>
    <row r="1358" spans="2:34" ht="21" customHeight="1" outlineLevel="5" x14ac:dyDescent="0.2">
      <c r="B1358" s="42">
        <v>1040</v>
      </c>
      <c r="C1358" s="5" t="s">
        <v>5603</v>
      </c>
      <c r="D1358" s="5" t="s">
        <v>5604</v>
      </c>
      <c r="E1358" s="6" t="s">
        <v>5605</v>
      </c>
      <c r="F1358" s="10"/>
      <c r="G1358" s="11" t="s">
        <v>5563</v>
      </c>
      <c r="H1358" s="12">
        <v>50</v>
      </c>
      <c r="I1358" s="13" t="s">
        <v>371</v>
      </c>
      <c r="J1358" s="13"/>
      <c r="K1358" s="13"/>
      <c r="L1358" s="4">
        <v>15</v>
      </c>
      <c r="M1358" s="14">
        <f>39*(1-P3/100)</f>
        <v>39</v>
      </c>
      <c r="N1358" s="15"/>
      <c r="O1358" s="13">
        <f t="shared" si="52"/>
        <v>0</v>
      </c>
      <c r="P1358" s="22">
        <f>0.057*N1358</f>
        <v>0</v>
      </c>
      <c r="Q1358" s="23">
        <f>0.00011*N1358</f>
        <v>0</v>
      </c>
      <c r="R1358" s="24"/>
      <c r="S1358" s="25" t="s">
        <v>5606</v>
      </c>
      <c r="T1358" s="25" t="s">
        <v>43</v>
      </c>
      <c r="U1358" s="5"/>
      <c r="V1358" s="5"/>
      <c r="W1358" s="5" t="s">
        <v>46</v>
      </c>
      <c r="X1358" s="5" t="s">
        <v>5594</v>
      </c>
      <c r="Y1358" s="5"/>
      <c r="Z1358" s="5" t="str">
        <f>HYPERLINK("https://knigipp.ru/api/getInfo/image/c4281289-2b7a-11e8-ba06-5cf3fc4a2490")</f>
        <v>https://knigipp.ru/api/getInfo/image/c4281289-2b7a-11e8-ba06-5cf3fc4a2490</v>
      </c>
      <c r="AA1358" s="33">
        <v>16</v>
      </c>
      <c r="AB1358" s="5"/>
      <c r="AC1358" s="5" t="s">
        <v>96</v>
      </c>
      <c r="AD1358" s="5"/>
      <c r="AE1358" s="5" t="s">
        <v>49</v>
      </c>
      <c r="AF1358" s="5"/>
      <c r="AG1358" s="5" t="s">
        <v>5565</v>
      </c>
      <c r="AH1358" s="5" t="s">
        <v>472</v>
      </c>
    </row>
    <row r="1359" spans="2:34" ht="21" customHeight="1" outlineLevel="5" x14ac:dyDescent="0.2">
      <c r="B1359" s="42">
        <v>1041</v>
      </c>
      <c r="C1359" s="5" t="s">
        <v>5607</v>
      </c>
      <c r="D1359" s="5" t="s">
        <v>5608</v>
      </c>
      <c r="E1359" s="6" t="s">
        <v>5609</v>
      </c>
      <c r="F1359" s="10"/>
      <c r="G1359" s="11" t="s">
        <v>5563</v>
      </c>
      <c r="H1359" s="12">
        <v>50</v>
      </c>
      <c r="I1359" s="13" t="s">
        <v>261</v>
      </c>
      <c r="J1359" s="13"/>
      <c r="K1359" s="13"/>
      <c r="L1359" s="4">
        <v>15</v>
      </c>
      <c r="M1359" s="14">
        <f>39*(1-P3/100)</f>
        <v>39</v>
      </c>
      <c r="N1359" s="15"/>
      <c r="O1359" s="13">
        <f t="shared" si="52"/>
        <v>0</v>
      </c>
      <c r="P1359" s="13">
        <v>0</v>
      </c>
      <c r="Q1359" s="13">
        <v>0</v>
      </c>
      <c r="R1359" s="24"/>
      <c r="S1359" s="25" t="s">
        <v>5610</v>
      </c>
      <c r="T1359" s="25" t="s">
        <v>43</v>
      </c>
      <c r="U1359" s="5"/>
      <c r="V1359" s="5"/>
      <c r="W1359" s="5" t="s">
        <v>46</v>
      </c>
      <c r="X1359" s="5"/>
      <c r="Y1359" s="5"/>
      <c r="Z1359" s="5" t="str">
        <f>HYPERLINK("https://knigipp.ru/api/getInfo/image/678ecce5-d5b8-11eb-a209-ac1f6b442185")</f>
        <v>https://knigipp.ru/api/getInfo/image/678ecce5-d5b8-11eb-a209-ac1f6b442185</v>
      </c>
      <c r="AA1359" s="33">
        <v>16</v>
      </c>
      <c r="AB1359" s="5"/>
      <c r="AC1359" s="5" t="s">
        <v>96</v>
      </c>
      <c r="AD1359" s="5"/>
      <c r="AE1359" s="5" t="s">
        <v>49</v>
      </c>
      <c r="AF1359" s="5"/>
      <c r="AG1359" s="5" t="s">
        <v>5565</v>
      </c>
      <c r="AH1359" s="5" t="s">
        <v>472</v>
      </c>
    </row>
    <row r="1360" spans="2:34" ht="21" customHeight="1" outlineLevel="5" x14ac:dyDescent="0.2">
      <c r="B1360" s="42">
        <v>1042</v>
      </c>
      <c r="C1360" s="5" t="s">
        <v>5611</v>
      </c>
      <c r="D1360" s="5" t="s">
        <v>5612</v>
      </c>
      <c r="E1360" s="6" t="s">
        <v>5613</v>
      </c>
      <c r="F1360" s="10"/>
      <c r="G1360" s="11" t="s">
        <v>5563</v>
      </c>
      <c r="H1360" s="12">
        <v>50</v>
      </c>
      <c r="I1360" s="13" t="s">
        <v>261</v>
      </c>
      <c r="J1360" s="13"/>
      <c r="K1360" s="13"/>
      <c r="L1360" s="4">
        <v>15</v>
      </c>
      <c r="M1360" s="14">
        <f>39*(1-P3/100)</f>
        <v>39</v>
      </c>
      <c r="N1360" s="15"/>
      <c r="O1360" s="13">
        <f t="shared" si="52"/>
        <v>0</v>
      </c>
      <c r="P1360" s="22">
        <f>0.057*N1360</f>
        <v>0</v>
      </c>
      <c r="Q1360" s="23">
        <f>0.00011*N1360</f>
        <v>0</v>
      </c>
      <c r="R1360" s="24"/>
      <c r="S1360" s="25" t="s">
        <v>5614</v>
      </c>
      <c r="T1360" s="25" t="s">
        <v>43</v>
      </c>
      <c r="U1360" s="5"/>
      <c r="V1360" s="5"/>
      <c r="W1360" s="5" t="s">
        <v>46</v>
      </c>
      <c r="X1360" s="5"/>
      <c r="Y1360" s="5"/>
      <c r="Z1360" s="5" t="str">
        <f>HYPERLINK("https://knigipp.ru/api/getInfo/image/79f1fe71-83a4-11e9-a226-ac1f6b442184")</f>
        <v>https://knigipp.ru/api/getInfo/image/79f1fe71-83a4-11e9-a226-ac1f6b442184</v>
      </c>
      <c r="AA1360" s="33">
        <v>16</v>
      </c>
      <c r="AB1360" s="5"/>
      <c r="AC1360" s="5" t="s">
        <v>96</v>
      </c>
      <c r="AD1360" s="5"/>
      <c r="AE1360" s="5" t="s">
        <v>49</v>
      </c>
      <c r="AF1360" s="5"/>
      <c r="AG1360" s="5" t="s">
        <v>5565</v>
      </c>
      <c r="AH1360" s="5" t="s">
        <v>472</v>
      </c>
    </row>
    <row r="1361" spans="2:34" ht="21" customHeight="1" outlineLevel="5" x14ac:dyDescent="0.2">
      <c r="B1361" s="42">
        <v>1043</v>
      </c>
      <c r="C1361" s="5" t="s">
        <v>5615</v>
      </c>
      <c r="D1361" s="5" t="s">
        <v>5616</v>
      </c>
      <c r="E1361" s="6" t="s">
        <v>5617</v>
      </c>
      <c r="F1361" s="10"/>
      <c r="G1361" s="11" t="s">
        <v>5563</v>
      </c>
      <c r="H1361" s="12">
        <v>50</v>
      </c>
      <c r="I1361" s="13" t="s">
        <v>261</v>
      </c>
      <c r="J1361" s="13"/>
      <c r="K1361" s="13"/>
      <c r="L1361" s="4">
        <v>15</v>
      </c>
      <c r="M1361" s="14">
        <f>39*(1-P3/100)</f>
        <v>39</v>
      </c>
      <c r="N1361" s="15"/>
      <c r="O1361" s="13">
        <f t="shared" si="52"/>
        <v>0</v>
      </c>
      <c r="P1361" s="32">
        <f>0.07*N1361</f>
        <v>0</v>
      </c>
      <c r="Q1361" s="23">
        <f>0.00115*N1361</f>
        <v>0</v>
      </c>
      <c r="R1361" s="24"/>
      <c r="S1361" s="25" t="s">
        <v>5618</v>
      </c>
      <c r="T1361" s="25" t="s">
        <v>43</v>
      </c>
      <c r="U1361" s="5"/>
      <c r="V1361" s="5"/>
      <c r="W1361" s="5" t="s">
        <v>46</v>
      </c>
      <c r="X1361" s="5"/>
      <c r="Y1361" s="5"/>
      <c r="Z1361" s="5" t="str">
        <f>HYPERLINK("https://knigipp.ru/api/getInfo/image/b3686048-3b1b-11ec-a20f-ac1f6b442185")</f>
        <v>https://knigipp.ru/api/getInfo/image/b3686048-3b1b-11ec-a20f-ac1f6b442185</v>
      </c>
      <c r="AA1361" s="33">
        <v>16</v>
      </c>
      <c r="AB1361" s="5"/>
      <c r="AC1361" s="5" t="s">
        <v>96</v>
      </c>
      <c r="AD1361" s="5"/>
      <c r="AE1361" s="5" t="s">
        <v>49</v>
      </c>
      <c r="AF1361" s="5"/>
      <c r="AG1361" s="5" t="s">
        <v>5565</v>
      </c>
      <c r="AH1361" s="5" t="s">
        <v>472</v>
      </c>
    </row>
    <row r="1362" spans="2:34" ht="21" customHeight="1" outlineLevel="5" x14ac:dyDescent="0.2">
      <c r="B1362" s="42">
        <v>1044</v>
      </c>
      <c r="C1362" s="5" t="s">
        <v>5619</v>
      </c>
      <c r="D1362" s="5" t="s">
        <v>5620</v>
      </c>
      <c r="E1362" s="6" t="s">
        <v>5621</v>
      </c>
      <c r="F1362" s="10"/>
      <c r="G1362" s="11" t="s">
        <v>5563</v>
      </c>
      <c r="H1362" s="12">
        <v>50</v>
      </c>
      <c r="I1362" s="13" t="s">
        <v>371</v>
      </c>
      <c r="J1362" s="13"/>
      <c r="K1362" s="13"/>
      <c r="L1362" s="4">
        <v>15</v>
      </c>
      <c r="M1362" s="14">
        <f>39*(1-P3/100)</f>
        <v>39</v>
      </c>
      <c r="N1362" s="15"/>
      <c r="O1362" s="13">
        <f t="shared" si="52"/>
        <v>0</v>
      </c>
      <c r="P1362" s="13">
        <v>0</v>
      </c>
      <c r="Q1362" s="13">
        <v>0</v>
      </c>
      <c r="R1362" s="24"/>
      <c r="S1362" s="25" t="s">
        <v>5622</v>
      </c>
      <c r="T1362" s="25" t="s">
        <v>43</v>
      </c>
      <c r="U1362" s="5"/>
      <c r="V1362" s="5"/>
      <c r="W1362" s="5" t="s">
        <v>46</v>
      </c>
      <c r="X1362" s="5"/>
      <c r="Y1362" s="5"/>
      <c r="Z1362" s="5" t="str">
        <f>HYPERLINK("https://knigipp.ru/api/getInfo/image/59366af0-c1ad-11ed-a230-00155d82e902")</f>
        <v>https://knigipp.ru/api/getInfo/image/59366af0-c1ad-11ed-a230-00155d82e902</v>
      </c>
      <c r="AA1362" s="33">
        <v>16</v>
      </c>
      <c r="AB1362" s="5"/>
      <c r="AC1362" s="5" t="s">
        <v>96</v>
      </c>
      <c r="AD1362" s="5"/>
      <c r="AE1362" s="5" t="s">
        <v>49</v>
      </c>
      <c r="AF1362" s="5"/>
      <c r="AG1362" s="5" t="s">
        <v>5565</v>
      </c>
      <c r="AH1362" s="5" t="s">
        <v>472</v>
      </c>
    </row>
    <row r="1363" spans="2:34" ht="21" customHeight="1" outlineLevel="5" x14ac:dyDescent="0.2">
      <c r="B1363" s="42">
        <v>1045</v>
      </c>
      <c r="C1363" s="5" t="s">
        <v>5623</v>
      </c>
      <c r="D1363" s="5" t="s">
        <v>5624</v>
      </c>
      <c r="E1363" s="6" t="s">
        <v>5625</v>
      </c>
      <c r="F1363" s="10"/>
      <c r="G1363" s="11" t="s">
        <v>5563</v>
      </c>
      <c r="H1363" s="12">
        <v>50</v>
      </c>
      <c r="I1363" s="13" t="s">
        <v>41</v>
      </c>
      <c r="J1363" s="13"/>
      <c r="K1363" s="13"/>
      <c r="L1363" s="4">
        <v>15</v>
      </c>
      <c r="M1363" s="14">
        <f>39*(1-P3/100)</f>
        <v>39</v>
      </c>
      <c r="N1363" s="15"/>
      <c r="O1363" s="13">
        <f t="shared" si="52"/>
        <v>0</v>
      </c>
      <c r="P1363" s="22">
        <f>0.057*N1363</f>
        <v>0</v>
      </c>
      <c r="Q1363" s="23">
        <f>0.00011*N1363</f>
        <v>0</v>
      </c>
      <c r="R1363" s="24"/>
      <c r="S1363" s="25" t="s">
        <v>5626</v>
      </c>
      <c r="T1363" s="25" t="s">
        <v>43</v>
      </c>
      <c r="U1363" s="5"/>
      <c r="V1363" s="5"/>
      <c r="W1363" s="5" t="s">
        <v>46</v>
      </c>
      <c r="X1363" s="5"/>
      <c r="Y1363" s="5"/>
      <c r="Z1363" s="5" t="str">
        <f>HYPERLINK("https://knigipp.ru/api/getInfo/image/541ad03e-ffb9-11ed-a23a-00155d82e902")</f>
        <v>https://knigipp.ru/api/getInfo/image/541ad03e-ffb9-11ed-a23a-00155d82e902</v>
      </c>
      <c r="AA1363" s="33">
        <v>16</v>
      </c>
      <c r="AB1363" s="5"/>
      <c r="AC1363" s="5" t="s">
        <v>96</v>
      </c>
      <c r="AD1363" s="5"/>
      <c r="AE1363" s="5" t="s">
        <v>49</v>
      </c>
      <c r="AF1363" s="5"/>
      <c r="AG1363" s="5" t="s">
        <v>5565</v>
      </c>
      <c r="AH1363" s="5" t="s">
        <v>472</v>
      </c>
    </row>
    <row r="1364" spans="2:34" ht="21" customHeight="1" outlineLevel="5" x14ac:dyDescent="0.2">
      <c r="B1364" s="42">
        <v>1046</v>
      </c>
      <c r="C1364" s="5" t="s">
        <v>5627</v>
      </c>
      <c r="D1364" s="5" t="s">
        <v>5628</v>
      </c>
      <c r="E1364" s="6" t="s">
        <v>5629</v>
      </c>
      <c r="F1364" s="10"/>
      <c r="G1364" s="11" t="s">
        <v>5563</v>
      </c>
      <c r="H1364" s="12">
        <v>50</v>
      </c>
      <c r="I1364" s="13" t="s">
        <v>371</v>
      </c>
      <c r="J1364" s="13"/>
      <c r="K1364" s="13"/>
      <c r="L1364" s="4">
        <v>15</v>
      </c>
      <c r="M1364" s="14">
        <f>39*(1-P3/100)</f>
        <v>39</v>
      </c>
      <c r="N1364" s="15"/>
      <c r="O1364" s="13">
        <f t="shared" si="52"/>
        <v>0</v>
      </c>
      <c r="P1364" s="22">
        <f>0.057*N1364</f>
        <v>0</v>
      </c>
      <c r="Q1364" s="23">
        <f>0.00011*N1364</f>
        <v>0</v>
      </c>
      <c r="R1364" s="24"/>
      <c r="S1364" s="25" t="s">
        <v>5630</v>
      </c>
      <c r="T1364" s="25" t="s">
        <v>43</v>
      </c>
      <c r="U1364" s="5"/>
      <c r="V1364" s="5"/>
      <c r="W1364" s="5" t="s">
        <v>46</v>
      </c>
      <c r="X1364" s="5" t="s">
        <v>5594</v>
      </c>
      <c r="Y1364" s="5"/>
      <c r="Z1364" s="5" t="str">
        <f>HYPERLINK("https://knigipp.ru/api/getInfo/image/e9cbd087-2b7a-11e8-ba06-5cf3fc4a2490")</f>
        <v>https://knigipp.ru/api/getInfo/image/e9cbd087-2b7a-11e8-ba06-5cf3fc4a2490</v>
      </c>
      <c r="AA1364" s="33">
        <v>16</v>
      </c>
      <c r="AB1364" s="5"/>
      <c r="AC1364" s="5" t="s">
        <v>96</v>
      </c>
      <c r="AD1364" s="5"/>
      <c r="AE1364" s="5" t="s">
        <v>49</v>
      </c>
      <c r="AF1364" s="5"/>
      <c r="AG1364" s="5" t="s">
        <v>5565</v>
      </c>
      <c r="AH1364" s="5" t="s">
        <v>472</v>
      </c>
    </row>
    <row r="1365" spans="2:34" ht="21" customHeight="1" outlineLevel="5" x14ac:dyDescent="0.2">
      <c r="B1365" s="42">
        <v>1047</v>
      </c>
      <c r="C1365" s="5" t="s">
        <v>5631</v>
      </c>
      <c r="D1365" s="5" t="s">
        <v>5632</v>
      </c>
      <c r="E1365" s="6" t="s">
        <v>5633</v>
      </c>
      <c r="F1365" s="10"/>
      <c r="G1365" s="11" t="s">
        <v>5563</v>
      </c>
      <c r="H1365" s="12">
        <v>50</v>
      </c>
      <c r="I1365" s="13" t="s">
        <v>261</v>
      </c>
      <c r="J1365" s="13"/>
      <c r="K1365" s="13"/>
      <c r="L1365" s="4">
        <v>15</v>
      </c>
      <c r="M1365" s="14">
        <f>39*(1-P3/100)</f>
        <v>39</v>
      </c>
      <c r="N1365" s="15"/>
      <c r="O1365" s="13">
        <f t="shared" si="52"/>
        <v>0</v>
      </c>
      <c r="P1365" s="13">
        <v>0</v>
      </c>
      <c r="Q1365" s="13">
        <v>0</v>
      </c>
      <c r="R1365" s="24"/>
      <c r="S1365" s="25" t="s">
        <v>5634</v>
      </c>
      <c r="T1365" s="25" t="s">
        <v>43</v>
      </c>
      <c r="U1365" s="5"/>
      <c r="V1365" s="5"/>
      <c r="W1365" s="5" t="s">
        <v>46</v>
      </c>
      <c r="X1365" s="5"/>
      <c r="Y1365" s="5"/>
      <c r="Z1365" s="5" t="str">
        <f>HYPERLINK("https://knigipp.ru/api/getInfo/image/ae900b44-b184-11ec-a211-ac1f6b442185")</f>
        <v>https://knigipp.ru/api/getInfo/image/ae900b44-b184-11ec-a211-ac1f6b442185</v>
      </c>
      <c r="AA1365" s="33">
        <v>16</v>
      </c>
      <c r="AB1365" s="5"/>
      <c r="AC1365" s="5" t="s">
        <v>96</v>
      </c>
      <c r="AD1365" s="5"/>
      <c r="AE1365" s="5" t="s">
        <v>49</v>
      </c>
      <c r="AF1365" s="5"/>
      <c r="AG1365" s="5" t="s">
        <v>5565</v>
      </c>
      <c r="AH1365" s="5" t="s">
        <v>472</v>
      </c>
    </row>
    <row r="1366" spans="2:34" ht="21" customHeight="1" outlineLevel="5" x14ac:dyDescent="0.2">
      <c r="B1366" s="42">
        <v>1048</v>
      </c>
      <c r="C1366" s="5" t="s">
        <v>5635</v>
      </c>
      <c r="D1366" s="5" t="s">
        <v>5636</v>
      </c>
      <c r="E1366" s="6" t="s">
        <v>5637</v>
      </c>
      <c r="F1366" s="10"/>
      <c r="G1366" s="11" t="s">
        <v>5563</v>
      </c>
      <c r="H1366" s="12">
        <v>50</v>
      </c>
      <c r="I1366" s="13" t="s">
        <v>261</v>
      </c>
      <c r="J1366" s="13"/>
      <c r="K1366" s="13"/>
      <c r="L1366" s="4">
        <v>15</v>
      </c>
      <c r="M1366" s="14">
        <f>39*(1-P3/100)</f>
        <v>39</v>
      </c>
      <c r="N1366" s="15"/>
      <c r="O1366" s="13">
        <f t="shared" si="52"/>
        <v>0</v>
      </c>
      <c r="P1366" s="13">
        <v>0</v>
      </c>
      <c r="Q1366" s="13">
        <v>0</v>
      </c>
      <c r="R1366" s="24"/>
      <c r="S1366" s="25" t="s">
        <v>5638</v>
      </c>
      <c r="T1366" s="25" t="s">
        <v>43</v>
      </c>
      <c r="U1366" s="5"/>
      <c r="V1366" s="5"/>
      <c r="W1366" s="5" t="s">
        <v>46</v>
      </c>
      <c r="X1366" s="5"/>
      <c r="Y1366" s="5"/>
      <c r="Z1366" s="5" t="str">
        <f>HYPERLINK("https://knigipp.ru/api/getInfo/image/8901244e-ffb9-11ed-a23a-00155d82e902")</f>
        <v>https://knigipp.ru/api/getInfo/image/8901244e-ffb9-11ed-a23a-00155d82e902</v>
      </c>
      <c r="AA1366" s="33">
        <v>16</v>
      </c>
      <c r="AB1366" s="5"/>
      <c r="AC1366" s="5" t="s">
        <v>96</v>
      </c>
      <c r="AD1366" s="5"/>
      <c r="AE1366" s="5" t="s">
        <v>49</v>
      </c>
      <c r="AF1366" s="5"/>
      <c r="AG1366" s="5" t="s">
        <v>5565</v>
      </c>
      <c r="AH1366" s="5" t="s">
        <v>472</v>
      </c>
    </row>
    <row r="1367" spans="2:34" ht="21" customHeight="1" outlineLevel="5" x14ac:dyDescent="0.2">
      <c r="B1367" s="42">
        <v>1049</v>
      </c>
      <c r="C1367" s="5" t="s">
        <v>5639</v>
      </c>
      <c r="D1367" s="5" t="s">
        <v>5640</v>
      </c>
      <c r="E1367" s="6" t="s">
        <v>5641</v>
      </c>
      <c r="F1367" s="10"/>
      <c r="G1367" s="11" t="s">
        <v>5563</v>
      </c>
      <c r="H1367" s="12">
        <v>50</v>
      </c>
      <c r="I1367" s="13" t="s">
        <v>261</v>
      </c>
      <c r="J1367" s="13"/>
      <c r="K1367" s="13"/>
      <c r="L1367" s="4">
        <v>15</v>
      </c>
      <c r="M1367" s="14">
        <f>39*(1-P3/100)</f>
        <v>39</v>
      </c>
      <c r="N1367" s="15"/>
      <c r="O1367" s="13">
        <f t="shared" si="52"/>
        <v>0</v>
      </c>
      <c r="P1367" s="32">
        <f>0.06*N1367</f>
        <v>0</v>
      </c>
      <c r="Q1367" s="23">
        <f>0.00017*N1367</f>
        <v>0</v>
      </c>
      <c r="R1367" s="24"/>
      <c r="S1367" s="25" t="s">
        <v>5642</v>
      </c>
      <c r="T1367" s="25" t="s">
        <v>43</v>
      </c>
      <c r="U1367" s="5"/>
      <c r="V1367" s="5"/>
      <c r="W1367" s="5" t="s">
        <v>46</v>
      </c>
      <c r="X1367" s="5"/>
      <c r="Y1367" s="5"/>
      <c r="Z1367" s="5" t="str">
        <f>HYPERLINK("https://knigipp.ru/api/getInfo/image/bb6d8689-529f-11ec-a20f-ac1f6b442185")</f>
        <v>https://knigipp.ru/api/getInfo/image/bb6d8689-529f-11ec-a20f-ac1f6b442185</v>
      </c>
      <c r="AA1367" s="33">
        <v>16</v>
      </c>
      <c r="AB1367" s="5"/>
      <c r="AC1367" s="5" t="s">
        <v>96</v>
      </c>
      <c r="AD1367" s="5"/>
      <c r="AE1367" s="5" t="s">
        <v>49</v>
      </c>
      <c r="AF1367" s="5"/>
      <c r="AG1367" s="5" t="s">
        <v>5565</v>
      </c>
      <c r="AH1367" s="5" t="s">
        <v>472</v>
      </c>
    </row>
    <row r="1368" spans="2:34" ht="21" customHeight="1" outlineLevel="5" x14ac:dyDescent="0.2">
      <c r="B1368" s="42">
        <v>1050</v>
      </c>
      <c r="C1368" s="5" t="s">
        <v>5643</v>
      </c>
      <c r="D1368" s="5" t="s">
        <v>5644</v>
      </c>
      <c r="E1368" s="6" t="s">
        <v>5645</v>
      </c>
      <c r="F1368" s="10"/>
      <c r="G1368" s="11" t="s">
        <v>5563</v>
      </c>
      <c r="H1368" s="12">
        <v>50</v>
      </c>
      <c r="I1368" s="13" t="s">
        <v>371</v>
      </c>
      <c r="J1368" s="13"/>
      <c r="K1368" s="13"/>
      <c r="L1368" s="4">
        <v>15</v>
      </c>
      <c r="M1368" s="14">
        <f>39*(1-P3/100)</f>
        <v>39</v>
      </c>
      <c r="N1368" s="15"/>
      <c r="O1368" s="13">
        <f t="shared" si="52"/>
        <v>0</v>
      </c>
      <c r="P1368" s="22">
        <f>0.057*N1368</f>
        <v>0</v>
      </c>
      <c r="Q1368" s="23">
        <f>0.00011*N1368</f>
        <v>0</v>
      </c>
      <c r="R1368" s="24"/>
      <c r="S1368" s="25" t="s">
        <v>5646</v>
      </c>
      <c r="T1368" s="25" t="s">
        <v>43</v>
      </c>
      <c r="U1368" s="5"/>
      <c r="V1368" s="5"/>
      <c r="W1368" s="5" t="s">
        <v>46</v>
      </c>
      <c r="X1368" s="5"/>
      <c r="Y1368" s="5"/>
      <c r="Z1368" s="5" t="str">
        <f>HYPERLINK("https://knigipp.ru/api/getInfo/image/34d47ebb-d94b-11e9-a234-ac1f6b442184")</f>
        <v>https://knigipp.ru/api/getInfo/image/34d47ebb-d94b-11e9-a234-ac1f6b442184</v>
      </c>
      <c r="AA1368" s="33">
        <v>16</v>
      </c>
      <c r="AB1368" s="5"/>
      <c r="AC1368" s="5" t="s">
        <v>96</v>
      </c>
      <c r="AD1368" s="5"/>
      <c r="AE1368" s="5" t="s">
        <v>49</v>
      </c>
      <c r="AF1368" s="5"/>
      <c r="AG1368" s="5" t="s">
        <v>5565</v>
      </c>
      <c r="AH1368" s="5" t="s">
        <v>472</v>
      </c>
    </row>
    <row r="1369" spans="2:34" ht="22.95" customHeight="1" outlineLevel="4" x14ac:dyDescent="0.2">
      <c r="B1369" s="75" t="s">
        <v>5647</v>
      </c>
      <c r="C1369" s="75"/>
      <c r="D1369" s="75"/>
    </row>
    <row r="1370" spans="2:34" ht="21" customHeight="1" outlineLevel="5" x14ac:dyDescent="0.2">
      <c r="B1370" s="42">
        <v>1051</v>
      </c>
      <c r="C1370" s="5" t="s">
        <v>5648</v>
      </c>
      <c r="D1370" s="5" t="s">
        <v>5649</v>
      </c>
      <c r="E1370" s="6" t="s">
        <v>5650</v>
      </c>
      <c r="F1370" s="10"/>
      <c r="G1370" s="11" t="s">
        <v>5651</v>
      </c>
      <c r="H1370" s="12">
        <v>50</v>
      </c>
      <c r="I1370" s="13" t="s">
        <v>41</v>
      </c>
      <c r="J1370" s="13"/>
      <c r="K1370" s="13"/>
      <c r="L1370" s="4">
        <v>25</v>
      </c>
      <c r="M1370" s="14">
        <f>24*(1-P3/100)</f>
        <v>24</v>
      </c>
      <c r="N1370" s="15"/>
      <c r="O1370" s="13">
        <f t="shared" ref="O1370:O1378" si="53">M1370*N1370</f>
        <v>0</v>
      </c>
      <c r="P1370" s="32">
        <f>0.03*N1370</f>
        <v>0</v>
      </c>
      <c r="Q1370" s="23">
        <f>0.00003*N1370</f>
        <v>0</v>
      </c>
      <c r="R1370" s="24"/>
      <c r="S1370" s="25" t="s">
        <v>5652</v>
      </c>
      <c r="T1370" s="25" t="s">
        <v>43</v>
      </c>
      <c r="U1370" s="5"/>
      <c r="V1370" s="5"/>
      <c r="W1370" s="5" t="s">
        <v>46</v>
      </c>
      <c r="X1370" s="5"/>
      <c r="Y1370" s="5"/>
      <c r="Z1370" s="5" t="str">
        <f>HYPERLINK("https://knigipp.ru/api/getInfo/image/c2136c1b-b9a2-11ed-a230-00155d82e902")</f>
        <v>https://knigipp.ru/api/getInfo/image/c2136c1b-b9a2-11ed-a230-00155d82e902</v>
      </c>
      <c r="AA1370" s="33">
        <v>16</v>
      </c>
      <c r="AB1370" s="5"/>
      <c r="AC1370" s="5" t="s">
        <v>96</v>
      </c>
      <c r="AD1370" s="5"/>
      <c r="AE1370" s="5" t="s">
        <v>49</v>
      </c>
      <c r="AF1370" s="5"/>
      <c r="AG1370" s="5"/>
      <c r="AH1370" s="5" t="s">
        <v>4604</v>
      </c>
    </row>
    <row r="1371" spans="2:34" ht="21" customHeight="1" outlineLevel="5" x14ac:dyDescent="0.2">
      <c r="B1371" s="42">
        <v>1052</v>
      </c>
      <c r="C1371" s="5" t="s">
        <v>5653</v>
      </c>
      <c r="D1371" s="5" t="s">
        <v>5654</v>
      </c>
      <c r="E1371" s="6" t="s">
        <v>5655</v>
      </c>
      <c r="F1371" s="10"/>
      <c r="G1371" s="11" t="s">
        <v>5651</v>
      </c>
      <c r="H1371" s="12">
        <v>50</v>
      </c>
      <c r="I1371" s="13" t="s">
        <v>41</v>
      </c>
      <c r="J1371" s="13"/>
      <c r="K1371" s="13"/>
      <c r="L1371" s="4">
        <v>25</v>
      </c>
      <c r="M1371" s="14">
        <f>24*(1-P3/100)</f>
        <v>24</v>
      </c>
      <c r="N1371" s="15"/>
      <c r="O1371" s="13">
        <f t="shared" si="53"/>
        <v>0</v>
      </c>
      <c r="P1371" s="32">
        <f>0.03*N1371</f>
        <v>0</v>
      </c>
      <c r="Q1371" s="23">
        <f>0.00003*N1371</f>
        <v>0</v>
      </c>
      <c r="R1371" s="24"/>
      <c r="S1371" s="25" t="s">
        <v>5656</v>
      </c>
      <c r="T1371" s="25" t="s">
        <v>43</v>
      </c>
      <c r="U1371" s="5"/>
      <c r="V1371" s="5"/>
      <c r="W1371" s="5" t="s">
        <v>46</v>
      </c>
      <c r="X1371" s="5"/>
      <c r="Y1371" s="5"/>
      <c r="Z1371" s="5" t="str">
        <f>HYPERLINK("https://knigipp.ru/api/getInfo/image/9f600f33-b9a3-11ed-a230-00155d82e902")</f>
        <v>https://knigipp.ru/api/getInfo/image/9f600f33-b9a3-11ed-a230-00155d82e902</v>
      </c>
      <c r="AA1371" s="33">
        <v>16</v>
      </c>
      <c r="AB1371" s="5"/>
      <c r="AC1371" s="5" t="s">
        <v>96</v>
      </c>
      <c r="AD1371" s="5"/>
      <c r="AE1371" s="5" t="s">
        <v>49</v>
      </c>
      <c r="AF1371" s="5"/>
      <c r="AG1371" s="5"/>
      <c r="AH1371" s="5" t="s">
        <v>4604</v>
      </c>
    </row>
    <row r="1372" spans="2:34" ht="21" customHeight="1" outlineLevel="5" x14ac:dyDescent="0.2">
      <c r="B1372" s="42">
        <v>1053</v>
      </c>
      <c r="C1372" s="5" t="s">
        <v>5657</v>
      </c>
      <c r="D1372" s="5" t="s">
        <v>5658</v>
      </c>
      <c r="E1372" s="6" t="s">
        <v>5659</v>
      </c>
      <c r="F1372" s="10"/>
      <c r="G1372" s="11" t="s">
        <v>5651</v>
      </c>
      <c r="H1372" s="12">
        <v>50</v>
      </c>
      <c r="I1372" s="13" t="s">
        <v>41</v>
      </c>
      <c r="J1372" s="13"/>
      <c r="K1372" s="13"/>
      <c r="L1372" s="4">
        <v>25</v>
      </c>
      <c r="M1372" s="14">
        <f>24*(1-P3/100)</f>
        <v>24</v>
      </c>
      <c r="N1372" s="15"/>
      <c r="O1372" s="13">
        <f t="shared" si="53"/>
        <v>0</v>
      </c>
      <c r="P1372" s="13">
        <v>0</v>
      </c>
      <c r="Q1372" s="13">
        <v>0</v>
      </c>
      <c r="R1372" s="24"/>
      <c r="S1372" s="25" t="s">
        <v>5660</v>
      </c>
      <c r="T1372" s="25" t="s">
        <v>43</v>
      </c>
      <c r="U1372" s="5"/>
      <c r="V1372" s="5"/>
      <c r="W1372" s="5" t="s">
        <v>46</v>
      </c>
      <c r="X1372" s="5"/>
      <c r="Y1372" s="5"/>
      <c r="Z1372" s="5" t="str">
        <f>HYPERLINK("https://knigipp.ru/api/getInfo/image/254b5660-b9a3-11ed-a230-00155d82e902")</f>
        <v>https://knigipp.ru/api/getInfo/image/254b5660-b9a3-11ed-a230-00155d82e902</v>
      </c>
      <c r="AA1372" s="33">
        <v>16</v>
      </c>
      <c r="AB1372" s="5"/>
      <c r="AC1372" s="5" t="s">
        <v>96</v>
      </c>
      <c r="AD1372" s="5"/>
      <c r="AE1372" s="5" t="s">
        <v>49</v>
      </c>
      <c r="AF1372" s="5"/>
      <c r="AG1372" s="5"/>
      <c r="AH1372" s="5" t="s">
        <v>4604</v>
      </c>
    </row>
    <row r="1373" spans="2:34" ht="21" customHeight="1" outlineLevel="5" x14ac:dyDescent="0.2">
      <c r="B1373" s="42">
        <v>1054</v>
      </c>
      <c r="C1373" s="5" t="s">
        <v>5661</v>
      </c>
      <c r="D1373" s="5" t="s">
        <v>5662</v>
      </c>
      <c r="E1373" s="6" t="s">
        <v>5663</v>
      </c>
      <c r="F1373" s="10"/>
      <c r="G1373" s="11" t="s">
        <v>5651</v>
      </c>
      <c r="H1373" s="12">
        <v>50</v>
      </c>
      <c r="I1373" s="13" t="s">
        <v>41</v>
      </c>
      <c r="J1373" s="13"/>
      <c r="K1373" s="13"/>
      <c r="L1373" s="4">
        <v>25</v>
      </c>
      <c r="M1373" s="14">
        <f>24*(1-P3/100)</f>
        <v>24</v>
      </c>
      <c r="N1373" s="15"/>
      <c r="O1373" s="13">
        <f t="shared" si="53"/>
        <v>0</v>
      </c>
      <c r="P1373" s="13">
        <v>0</v>
      </c>
      <c r="Q1373" s="13">
        <v>0</v>
      </c>
      <c r="R1373" s="24"/>
      <c r="S1373" s="25" t="s">
        <v>5664</v>
      </c>
      <c r="T1373" s="25" t="s">
        <v>43</v>
      </c>
      <c r="U1373" s="5"/>
      <c r="V1373" s="5"/>
      <c r="W1373" s="5" t="s">
        <v>46</v>
      </c>
      <c r="X1373" s="5"/>
      <c r="Y1373" s="5"/>
      <c r="Z1373" s="5" t="str">
        <f>HYPERLINK("https://knigipp.ru/api/getInfo/image/1c5eb229-b9a4-11ed-a230-00155d82e902")</f>
        <v>https://knigipp.ru/api/getInfo/image/1c5eb229-b9a4-11ed-a230-00155d82e902</v>
      </c>
      <c r="AA1373" s="33">
        <v>16</v>
      </c>
      <c r="AB1373" s="5"/>
      <c r="AC1373" s="5" t="s">
        <v>96</v>
      </c>
      <c r="AD1373" s="5"/>
      <c r="AE1373" s="5" t="s">
        <v>49</v>
      </c>
      <c r="AF1373" s="5"/>
      <c r="AG1373" s="5"/>
      <c r="AH1373" s="5" t="s">
        <v>4604</v>
      </c>
    </row>
    <row r="1374" spans="2:34" ht="21" customHeight="1" outlineLevel="5" x14ac:dyDescent="0.2">
      <c r="B1374" s="42">
        <v>1055</v>
      </c>
      <c r="C1374" s="5" t="s">
        <v>5665</v>
      </c>
      <c r="D1374" s="5" t="s">
        <v>5666</v>
      </c>
      <c r="E1374" s="6" t="s">
        <v>5667</v>
      </c>
      <c r="F1374" s="10"/>
      <c r="G1374" s="11" t="s">
        <v>5651</v>
      </c>
      <c r="H1374" s="12">
        <v>50</v>
      </c>
      <c r="I1374" s="13" t="s">
        <v>41</v>
      </c>
      <c r="J1374" s="13"/>
      <c r="K1374" s="13"/>
      <c r="L1374" s="4">
        <v>25</v>
      </c>
      <c r="M1374" s="14">
        <f>24*(1-P3/100)</f>
        <v>24</v>
      </c>
      <c r="N1374" s="15"/>
      <c r="O1374" s="13">
        <f t="shared" si="53"/>
        <v>0</v>
      </c>
      <c r="P1374" s="13">
        <v>0</v>
      </c>
      <c r="Q1374" s="13">
        <v>0</v>
      </c>
      <c r="R1374" s="24"/>
      <c r="S1374" s="25" t="s">
        <v>5668</v>
      </c>
      <c r="T1374" s="25" t="s">
        <v>43</v>
      </c>
      <c r="U1374" s="5"/>
      <c r="V1374" s="5"/>
      <c r="W1374" s="5" t="s">
        <v>46</v>
      </c>
      <c r="X1374" s="5"/>
      <c r="Y1374" s="5"/>
      <c r="Z1374" s="5" t="str">
        <f>HYPERLINK("https://knigipp.ru/api/getInfo/image/f971e29e-b9a3-11ed-a230-00155d82e902")</f>
        <v>https://knigipp.ru/api/getInfo/image/f971e29e-b9a3-11ed-a230-00155d82e902</v>
      </c>
      <c r="AA1374" s="33">
        <v>16</v>
      </c>
      <c r="AB1374" s="5"/>
      <c r="AC1374" s="5" t="s">
        <v>96</v>
      </c>
      <c r="AD1374" s="5"/>
      <c r="AE1374" s="5" t="s">
        <v>49</v>
      </c>
      <c r="AF1374" s="5"/>
      <c r="AG1374" s="5"/>
      <c r="AH1374" s="5" t="s">
        <v>4604</v>
      </c>
    </row>
    <row r="1375" spans="2:34" ht="21" customHeight="1" outlineLevel="5" x14ac:dyDescent="0.2">
      <c r="B1375" s="42">
        <v>1056</v>
      </c>
      <c r="C1375" s="5" t="s">
        <v>5669</v>
      </c>
      <c r="D1375" s="5" t="s">
        <v>5670</v>
      </c>
      <c r="E1375" s="6" t="s">
        <v>5671</v>
      </c>
      <c r="F1375" s="10"/>
      <c r="G1375" s="11" t="s">
        <v>5651</v>
      </c>
      <c r="H1375" s="12">
        <v>50</v>
      </c>
      <c r="I1375" s="13" t="s">
        <v>41</v>
      </c>
      <c r="J1375" s="13"/>
      <c r="K1375" s="13"/>
      <c r="L1375" s="4">
        <v>25</v>
      </c>
      <c r="M1375" s="14">
        <f>24*(1-P3/100)</f>
        <v>24</v>
      </c>
      <c r="N1375" s="15"/>
      <c r="O1375" s="13">
        <f t="shared" si="53"/>
        <v>0</v>
      </c>
      <c r="P1375" s="13">
        <v>0</v>
      </c>
      <c r="Q1375" s="13">
        <v>0</v>
      </c>
      <c r="R1375" s="24"/>
      <c r="S1375" s="25" t="s">
        <v>5672</v>
      </c>
      <c r="T1375" s="25" t="s">
        <v>43</v>
      </c>
      <c r="U1375" s="5"/>
      <c r="V1375" s="5"/>
      <c r="W1375" s="5" t="s">
        <v>46</v>
      </c>
      <c r="X1375" s="5"/>
      <c r="Y1375" s="5"/>
      <c r="Z1375" s="5" t="str">
        <f>HYPERLINK("https://knigipp.ru/api/getInfo/image/0377a30d-b9a3-11ed-a230-00155d82e902")</f>
        <v>https://knigipp.ru/api/getInfo/image/0377a30d-b9a3-11ed-a230-00155d82e902</v>
      </c>
      <c r="AA1375" s="33">
        <v>16</v>
      </c>
      <c r="AB1375" s="5"/>
      <c r="AC1375" s="5" t="s">
        <v>96</v>
      </c>
      <c r="AD1375" s="5"/>
      <c r="AE1375" s="5" t="s">
        <v>49</v>
      </c>
      <c r="AF1375" s="5"/>
      <c r="AG1375" s="5"/>
      <c r="AH1375" s="5" t="s">
        <v>4604</v>
      </c>
    </row>
    <row r="1376" spans="2:34" ht="21" customHeight="1" outlineLevel="5" x14ac:dyDescent="0.2">
      <c r="B1376" s="42">
        <v>1057</v>
      </c>
      <c r="C1376" s="5" t="s">
        <v>5673</v>
      </c>
      <c r="D1376" s="5" t="s">
        <v>5674</v>
      </c>
      <c r="E1376" s="6" t="s">
        <v>5675</v>
      </c>
      <c r="F1376" s="10"/>
      <c r="G1376" s="11" t="s">
        <v>5676</v>
      </c>
      <c r="H1376" s="12">
        <v>50</v>
      </c>
      <c r="I1376" s="13" t="s">
        <v>41</v>
      </c>
      <c r="J1376" s="13"/>
      <c r="K1376" s="13"/>
      <c r="L1376" s="4">
        <v>25</v>
      </c>
      <c r="M1376" s="14">
        <f>24*(1-P3/100)</f>
        <v>24</v>
      </c>
      <c r="N1376" s="15"/>
      <c r="O1376" s="13">
        <f t="shared" si="53"/>
        <v>0</v>
      </c>
      <c r="P1376" s="32">
        <f>0.03*N1376</f>
        <v>0</v>
      </c>
      <c r="Q1376" s="23">
        <f>0.00003*N1376</f>
        <v>0</v>
      </c>
      <c r="R1376" s="24"/>
      <c r="S1376" s="25" t="s">
        <v>5677</v>
      </c>
      <c r="T1376" s="25" t="s">
        <v>43</v>
      </c>
      <c r="U1376" s="5"/>
      <c r="V1376" s="5"/>
      <c r="W1376" s="5" t="s">
        <v>46</v>
      </c>
      <c r="X1376" s="5"/>
      <c r="Y1376" s="5"/>
      <c r="Z1376" s="5" t="str">
        <f>HYPERLINK("https://knigipp.ru/api/getInfo/image/ad98acfe-99b3-11e9-a227-ac1f6b442184")</f>
        <v>https://knigipp.ru/api/getInfo/image/ad98acfe-99b3-11e9-a227-ac1f6b442184</v>
      </c>
      <c r="AA1376" s="33">
        <v>16</v>
      </c>
      <c r="AB1376" s="5"/>
      <c r="AC1376" s="5" t="s">
        <v>96</v>
      </c>
      <c r="AD1376" s="5"/>
      <c r="AE1376" s="5" t="s">
        <v>49</v>
      </c>
      <c r="AF1376" s="5"/>
      <c r="AG1376" s="5"/>
      <c r="AH1376" s="5" t="s">
        <v>4604</v>
      </c>
    </row>
    <row r="1377" spans="2:34" ht="21" customHeight="1" outlineLevel="5" x14ac:dyDescent="0.2">
      <c r="B1377" s="42">
        <v>1058</v>
      </c>
      <c r="C1377" s="5" t="s">
        <v>5678</v>
      </c>
      <c r="D1377" s="5" t="s">
        <v>5679</v>
      </c>
      <c r="E1377" s="6" t="s">
        <v>5680</v>
      </c>
      <c r="F1377" s="10"/>
      <c r="G1377" s="11" t="s">
        <v>5651</v>
      </c>
      <c r="H1377" s="12">
        <v>50</v>
      </c>
      <c r="I1377" s="13" t="s">
        <v>41</v>
      </c>
      <c r="J1377" s="13"/>
      <c r="K1377" s="13"/>
      <c r="L1377" s="4">
        <v>25</v>
      </c>
      <c r="M1377" s="14">
        <f>24*(1-P3/100)</f>
        <v>24</v>
      </c>
      <c r="N1377" s="15"/>
      <c r="O1377" s="13">
        <f t="shared" si="53"/>
        <v>0</v>
      </c>
      <c r="P1377" s="13">
        <v>0</v>
      </c>
      <c r="Q1377" s="13">
        <v>0</v>
      </c>
      <c r="R1377" s="24"/>
      <c r="S1377" s="25" t="s">
        <v>5681</v>
      </c>
      <c r="T1377" s="25" t="s">
        <v>43</v>
      </c>
      <c r="U1377" s="5"/>
      <c r="V1377" s="5"/>
      <c r="W1377" s="5" t="s">
        <v>46</v>
      </c>
      <c r="X1377" s="5"/>
      <c r="Y1377" s="5"/>
      <c r="Z1377" s="5" t="str">
        <f>HYPERLINK("https://knigipp.ru/api/getInfo/image/47cf69f1-b9a3-11ed-a230-00155d82e902")</f>
        <v>https://knigipp.ru/api/getInfo/image/47cf69f1-b9a3-11ed-a230-00155d82e902</v>
      </c>
      <c r="AA1377" s="33">
        <v>16</v>
      </c>
      <c r="AB1377" s="5"/>
      <c r="AC1377" s="5" t="s">
        <v>96</v>
      </c>
      <c r="AD1377" s="5"/>
      <c r="AE1377" s="5" t="s">
        <v>49</v>
      </c>
      <c r="AF1377" s="5"/>
      <c r="AG1377" s="5"/>
      <c r="AH1377" s="5" t="s">
        <v>4604</v>
      </c>
    </row>
    <row r="1378" spans="2:34" ht="21" customHeight="1" outlineLevel="5" x14ac:dyDescent="0.2">
      <c r="B1378" s="42">
        <v>1059</v>
      </c>
      <c r="C1378" s="5" t="s">
        <v>5682</v>
      </c>
      <c r="D1378" s="5" t="s">
        <v>5683</v>
      </c>
      <c r="E1378" s="6" t="s">
        <v>5684</v>
      </c>
      <c r="F1378" s="10"/>
      <c r="G1378" s="11" t="s">
        <v>5651</v>
      </c>
      <c r="H1378" s="12">
        <v>50</v>
      </c>
      <c r="I1378" s="13" t="s">
        <v>41</v>
      </c>
      <c r="J1378" s="13"/>
      <c r="K1378" s="13"/>
      <c r="L1378" s="4">
        <v>25</v>
      </c>
      <c r="M1378" s="14">
        <f>24*(1-P3/100)</f>
        <v>24</v>
      </c>
      <c r="N1378" s="15"/>
      <c r="O1378" s="13">
        <f t="shared" si="53"/>
        <v>0</v>
      </c>
      <c r="P1378" s="13">
        <v>0</v>
      </c>
      <c r="Q1378" s="13">
        <v>0</v>
      </c>
      <c r="R1378" s="24"/>
      <c r="S1378" s="25" t="s">
        <v>5685</v>
      </c>
      <c r="T1378" s="25" t="s">
        <v>43</v>
      </c>
      <c r="U1378" s="5"/>
      <c r="V1378" s="5"/>
      <c r="W1378" s="5" t="s">
        <v>46</v>
      </c>
      <c r="X1378" s="5"/>
      <c r="Y1378" s="5"/>
      <c r="Z1378" s="5" t="str">
        <f>HYPERLINK("https://knigipp.ru/api/getInfo/image/eba490a3-b9a1-11ed-a230-00155d82e902")</f>
        <v>https://knigipp.ru/api/getInfo/image/eba490a3-b9a1-11ed-a230-00155d82e902</v>
      </c>
      <c r="AA1378" s="33">
        <v>16</v>
      </c>
      <c r="AB1378" s="5"/>
      <c r="AC1378" s="5" t="s">
        <v>96</v>
      </c>
      <c r="AD1378" s="5"/>
      <c r="AE1378" s="5" t="s">
        <v>49</v>
      </c>
      <c r="AF1378" s="5"/>
      <c r="AG1378" s="5"/>
      <c r="AH1378" s="5" t="s">
        <v>4604</v>
      </c>
    </row>
    <row r="1379" spans="2:34" ht="22.95" customHeight="1" outlineLevel="4" x14ac:dyDescent="0.2">
      <c r="B1379" s="75" t="s">
        <v>5686</v>
      </c>
      <c r="C1379" s="75"/>
      <c r="D1379" s="75"/>
    </row>
    <row r="1380" spans="2:34" ht="21" customHeight="1" outlineLevel="5" x14ac:dyDescent="0.2">
      <c r="B1380" s="42">
        <v>1060</v>
      </c>
      <c r="C1380" s="5" t="s">
        <v>5687</v>
      </c>
      <c r="D1380" s="5" t="s">
        <v>5688</v>
      </c>
      <c r="E1380" s="6" t="s">
        <v>5689</v>
      </c>
      <c r="F1380" s="10"/>
      <c r="G1380" s="11" t="s">
        <v>5690</v>
      </c>
      <c r="H1380" s="12">
        <v>50</v>
      </c>
      <c r="I1380" s="13" t="s">
        <v>41</v>
      </c>
      <c r="J1380" s="13"/>
      <c r="K1380" s="13"/>
      <c r="L1380" s="4">
        <v>25</v>
      </c>
      <c r="M1380" s="14">
        <f>24*(1-P3/100)</f>
        <v>24</v>
      </c>
      <c r="N1380" s="15"/>
      <c r="O1380" s="13">
        <f>M1380*N1380</f>
        <v>0</v>
      </c>
      <c r="P1380" s="32">
        <f>0.03*N1380</f>
        <v>0</v>
      </c>
      <c r="Q1380" s="30">
        <f>0.0002*N1380</f>
        <v>0</v>
      </c>
      <c r="R1380" s="24"/>
      <c r="S1380" s="25" t="s">
        <v>5691</v>
      </c>
      <c r="T1380" s="25" t="s">
        <v>43</v>
      </c>
      <c r="U1380" s="5"/>
      <c r="V1380" s="5"/>
      <c r="W1380" s="5" t="s">
        <v>46</v>
      </c>
      <c r="X1380" s="5"/>
      <c r="Y1380" s="5"/>
      <c r="Z1380" s="5" t="str">
        <f>HYPERLINK("https://knigipp.ru/api/getInfo/image/51d443d8-7541-11ec-a210-ac1f6b442185")</f>
        <v>https://knigipp.ru/api/getInfo/image/51d443d8-7541-11ec-a210-ac1f6b442185</v>
      </c>
      <c r="AA1380" s="33">
        <v>16</v>
      </c>
      <c r="AB1380" s="5"/>
      <c r="AC1380" s="5" t="s">
        <v>96</v>
      </c>
      <c r="AD1380" s="5"/>
      <c r="AE1380" s="5" t="s">
        <v>49</v>
      </c>
      <c r="AF1380" s="5"/>
      <c r="AG1380" s="5"/>
      <c r="AH1380" s="5" t="s">
        <v>5692</v>
      </c>
    </row>
    <row r="1381" spans="2:34" ht="21" customHeight="1" outlineLevel="5" x14ac:dyDescent="0.2">
      <c r="B1381" s="42">
        <v>1061</v>
      </c>
      <c r="C1381" s="5" t="s">
        <v>5693</v>
      </c>
      <c r="D1381" s="5" t="s">
        <v>5694</v>
      </c>
      <c r="E1381" s="6" t="s">
        <v>5695</v>
      </c>
      <c r="F1381" s="10"/>
      <c r="G1381" s="11" t="s">
        <v>5690</v>
      </c>
      <c r="H1381" s="12">
        <v>50</v>
      </c>
      <c r="I1381" s="13" t="s">
        <v>41</v>
      </c>
      <c r="J1381" s="13"/>
      <c r="K1381" s="13"/>
      <c r="L1381" s="4">
        <v>25</v>
      </c>
      <c r="M1381" s="14">
        <f>24*(1-P3/100)</f>
        <v>24</v>
      </c>
      <c r="N1381" s="15"/>
      <c r="O1381" s="13">
        <f>M1381*N1381</f>
        <v>0</v>
      </c>
      <c r="P1381" s="22">
        <f>0.028*N1381</f>
        <v>0</v>
      </c>
      <c r="Q1381" s="23">
        <f>0.00012*N1381</f>
        <v>0</v>
      </c>
      <c r="R1381" s="24"/>
      <c r="S1381" s="25" t="s">
        <v>5696</v>
      </c>
      <c r="T1381" s="25" t="s">
        <v>43</v>
      </c>
      <c r="U1381" s="5"/>
      <c r="V1381" s="5"/>
      <c r="W1381" s="5" t="s">
        <v>46</v>
      </c>
      <c r="X1381" s="5"/>
      <c r="Y1381" s="5"/>
      <c r="Z1381" s="5" t="str">
        <f>HYPERLINK("https://knigipp.ru/api/getInfo/image/c60b0fb0-7540-11ec-a210-ac1f6b442185")</f>
        <v>https://knigipp.ru/api/getInfo/image/c60b0fb0-7540-11ec-a210-ac1f6b442185</v>
      </c>
      <c r="AA1381" s="33">
        <v>16</v>
      </c>
      <c r="AB1381" s="5"/>
      <c r="AC1381" s="5" t="s">
        <v>96</v>
      </c>
      <c r="AD1381" s="5"/>
      <c r="AE1381" s="5" t="s">
        <v>49</v>
      </c>
      <c r="AF1381" s="5"/>
      <c r="AG1381" s="5"/>
      <c r="AH1381" s="5" t="s">
        <v>5692</v>
      </c>
    </row>
    <row r="1382" spans="2:34" ht="21" customHeight="1" outlineLevel="5" x14ac:dyDescent="0.2">
      <c r="B1382" s="42">
        <v>1062</v>
      </c>
      <c r="C1382" s="5" t="s">
        <v>5697</v>
      </c>
      <c r="D1382" s="5" t="s">
        <v>5698</v>
      </c>
      <c r="E1382" s="6" t="s">
        <v>5699</v>
      </c>
      <c r="F1382" s="10"/>
      <c r="G1382" s="11" t="s">
        <v>5690</v>
      </c>
      <c r="H1382" s="12">
        <v>50</v>
      </c>
      <c r="I1382" s="13" t="s">
        <v>41</v>
      </c>
      <c r="J1382" s="13"/>
      <c r="K1382" s="13"/>
      <c r="L1382" s="4">
        <v>25</v>
      </c>
      <c r="M1382" s="14">
        <f>24*(1-P3/100)</f>
        <v>24</v>
      </c>
      <c r="N1382" s="15"/>
      <c r="O1382" s="13">
        <f>M1382*N1382</f>
        <v>0</v>
      </c>
      <c r="P1382" s="22">
        <f>0.027*N1382</f>
        <v>0</v>
      </c>
      <c r="Q1382" s="23">
        <f>0.00015*N1382</f>
        <v>0</v>
      </c>
      <c r="R1382" s="24"/>
      <c r="S1382" s="25" t="s">
        <v>5700</v>
      </c>
      <c r="T1382" s="25" t="s">
        <v>43</v>
      </c>
      <c r="U1382" s="5"/>
      <c r="V1382" s="5"/>
      <c r="W1382" s="5" t="s">
        <v>46</v>
      </c>
      <c r="X1382" s="5"/>
      <c r="Y1382" s="5"/>
      <c r="Z1382" s="5" t="str">
        <f>HYPERLINK("https://knigipp.ru/api/getInfo/image/824592f0-7541-11ec-a210-ac1f6b442185")</f>
        <v>https://knigipp.ru/api/getInfo/image/824592f0-7541-11ec-a210-ac1f6b442185</v>
      </c>
      <c r="AA1382" s="33">
        <v>16</v>
      </c>
      <c r="AB1382" s="5"/>
      <c r="AC1382" s="5" t="s">
        <v>96</v>
      </c>
      <c r="AD1382" s="5"/>
      <c r="AE1382" s="5" t="s">
        <v>49</v>
      </c>
      <c r="AF1382" s="5"/>
      <c r="AG1382" s="5"/>
      <c r="AH1382" s="5" t="s">
        <v>5692</v>
      </c>
    </row>
    <row r="1383" spans="2:34" ht="21" customHeight="1" outlineLevel="5" x14ac:dyDescent="0.2">
      <c r="B1383" s="42">
        <v>1063</v>
      </c>
      <c r="C1383" s="5" t="s">
        <v>5701</v>
      </c>
      <c r="D1383" s="5" t="s">
        <v>5702</v>
      </c>
      <c r="E1383" s="6" t="s">
        <v>5703</v>
      </c>
      <c r="F1383" s="10"/>
      <c r="G1383" s="11" t="s">
        <v>5690</v>
      </c>
      <c r="H1383" s="12">
        <v>50</v>
      </c>
      <c r="I1383" s="13" t="s">
        <v>41</v>
      </c>
      <c r="J1383" s="13"/>
      <c r="K1383" s="13"/>
      <c r="L1383" s="4">
        <v>25</v>
      </c>
      <c r="M1383" s="14">
        <f>24*(1-P3/100)</f>
        <v>24</v>
      </c>
      <c r="N1383" s="15"/>
      <c r="O1383" s="13">
        <f>M1383*N1383</f>
        <v>0</v>
      </c>
      <c r="P1383" s="32">
        <f>0.03*N1383</f>
        <v>0</v>
      </c>
      <c r="Q1383" s="23">
        <f>0.00025*N1383</f>
        <v>0</v>
      </c>
      <c r="R1383" s="24"/>
      <c r="S1383" s="25" t="s">
        <v>5704</v>
      </c>
      <c r="T1383" s="25" t="s">
        <v>43</v>
      </c>
      <c r="U1383" s="5"/>
      <c r="V1383" s="5"/>
      <c r="W1383" s="5" t="s">
        <v>46</v>
      </c>
      <c r="X1383" s="5"/>
      <c r="Y1383" s="5"/>
      <c r="Z1383" s="5" t="str">
        <f>HYPERLINK("https://knigipp.ru/api/getInfo/image/333dde02-7541-11ec-a210-ac1f6b442185")</f>
        <v>https://knigipp.ru/api/getInfo/image/333dde02-7541-11ec-a210-ac1f6b442185</v>
      </c>
      <c r="AA1383" s="33">
        <v>16</v>
      </c>
      <c r="AB1383" s="5"/>
      <c r="AC1383" s="5" t="s">
        <v>96</v>
      </c>
      <c r="AD1383" s="5"/>
      <c r="AE1383" s="5" t="s">
        <v>49</v>
      </c>
      <c r="AF1383" s="5"/>
      <c r="AG1383" s="5"/>
      <c r="AH1383" s="5" t="s">
        <v>5692</v>
      </c>
    </row>
    <row r="1384" spans="2:34" ht="21" customHeight="1" outlineLevel="5" x14ac:dyDescent="0.2">
      <c r="B1384" s="42">
        <v>1064</v>
      </c>
      <c r="C1384" s="5" t="s">
        <v>5705</v>
      </c>
      <c r="D1384" s="5" t="s">
        <v>5706</v>
      </c>
      <c r="E1384" s="6" t="s">
        <v>5707</v>
      </c>
      <c r="F1384" s="10"/>
      <c r="G1384" s="11" t="s">
        <v>5690</v>
      </c>
      <c r="H1384" s="12">
        <v>50</v>
      </c>
      <c r="I1384" s="13" t="s">
        <v>41</v>
      </c>
      <c r="J1384" s="13"/>
      <c r="K1384" s="13"/>
      <c r="L1384" s="4">
        <v>25</v>
      </c>
      <c r="M1384" s="14">
        <f>24*(1-P3/100)</f>
        <v>24</v>
      </c>
      <c r="N1384" s="15"/>
      <c r="O1384" s="13">
        <f>M1384*N1384</f>
        <v>0</v>
      </c>
      <c r="P1384" s="32">
        <f>0.03*N1384</f>
        <v>0</v>
      </c>
      <c r="Q1384" s="23">
        <f>0.00016*N1384</f>
        <v>0</v>
      </c>
      <c r="R1384" s="24"/>
      <c r="S1384" s="25" t="s">
        <v>5708</v>
      </c>
      <c r="T1384" s="25" t="s">
        <v>43</v>
      </c>
      <c r="U1384" s="5"/>
      <c r="V1384" s="5"/>
      <c r="W1384" s="5" t="s">
        <v>46</v>
      </c>
      <c r="X1384" s="5"/>
      <c r="Y1384" s="5"/>
      <c r="Z1384" s="5" t="str">
        <f>HYPERLINK("https://knigipp.ru/api/getInfo/image/c472e028-7541-11ec-a210-ac1f6b442185")</f>
        <v>https://knigipp.ru/api/getInfo/image/c472e028-7541-11ec-a210-ac1f6b442185</v>
      </c>
      <c r="AA1384" s="33">
        <v>16</v>
      </c>
      <c r="AB1384" s="5"/>
      <c r="AC1384" s="5" t="s">
        <v>96</v>
      </c>
      <c r="AD1384" s="5"/>
      <c r="AE1384" s="5" t="s">
        <v>49</v>
      </c>
      <c r="AF1384" s="5"/>
      <c r="AG1384" s="5"/>
      <c r="AH1384" s="5" t="s">
        <v>5692</v>
      </c>
    </row>
    <row r="1385" spans="2:34" ht="22.95" customHeight="1" outlineLevel="4" x14ac:dyDescent="0.2">
      <c r="B1385" s="75" t="s">
        <v>5709</v>
      </c>
      <c r="C1385" s="75"/>
      <c r="D1385" s="75"/>
    </row>
    <row r="1386" spans="2:34" ht="21" customHeight="1" outlineLevel="5" x14ac:dyDescent="0.2">
      <c r="B1386" s="42">
        <v>1065</v>
      </c>
      <c r="C1386" s="5" t="s">
        <v>5710</v>
      </c>
      <c r="D1386" s="5" t="s">
        <v>5711</v>
      </c>
      <c r="E1386" s="6" t="s">
        <v>5712</v>
      </c>
      <c r="F1386" s="10"/>
      <c r="G1386" s="11" t="s">
        <v>5713</v>
      </c>
      <c r="H1386" s="12">
        <v>50</v>
      </c>
      <c r="I1386" s="13" t="s">
        <v>261</v>
      </c>
      <c r="J1386" s="13"/>
      <c r="K1386" s="13"/>
      <c r="L1386" s="4">
        <v>30</v>
      </c>
      <c r="M1386" s="14">
        <f>21*(1-P3/100)</f>
        <v>21</v>
      </c>
      <c r="N1386" s="15"/>
      <c r="O1386" s="13">
        <f>M1386*N1386</f>
        <v>0</v>
      </c>
      <c r="P1386" s="13">
        <v>0</v>
      </c>
      <c r="Q1386" s="13">
        <v>0</v>
      </c>
      <c r="R1386" s="24"/>
      <c r="S1386" s="25" t="s">
        <v>5714</v>
      </c>
      <c r="T1386" s="25" t="s">
        <v>43</v>
      </c>
      <c r="U1386" s="5"/>
      <c r="V1386" s="5"/>
      <c r="W1386" s="5" t="s">
        <v>46</v>
      </c>
      <c r="X1386" s="5"/>
      <c r="Y1386" s="5"/>
      <c r="Z1386" s="5" t="str">
        <f>HYPERLINK("https://knigipp.ru/api/getInfo/image/b8e1c15d-e1aa-11ec-a213-ac1f6b442185")</f>
        <v>https://knigipp.ru/api/getInfo/image/b8e1c15d-e1aa-11ec-a213-ac1f6b442185</v>
      </c>
      <c r="AA1386" s="33">
        <v>16</v>
      </c>
      <c r="AB1386" s="5"/>
      <c r="AC1386" s="5" t="s">
        <v>96</v>
      </c>
      <c r="AD1386" s="5"/>
      <c r="AE1386" s="5" t="s">
        <v>49</v>
      </c>
      <c r="AF1386" s="5"/>
      <c r="AG1386" s="5"/>
      <c r="AH1386" s="5" t="s">
        <v>5692</v>
      </c>
    </row>
    <row r="1387" spans="2:34" ht="22.95" customHeight="1" outlineLevel="4" x14ac:dyDescent="0.2">
      <c r="B1387" s="75" t="s">
        <v>5715</v>
      </c>
      <c r="C1387" s="75"/>
      <c r="D1387" s="75"/>
    </row>
    <row r="1388" spans="2:34" ht="21" customHeight="1" outlineLevel="5" x14ac:dyDescent="0.2">
      <c r="B1388" s="42">
        <v>1066</v>
      </c>
      <c r="C1388" s="5" t="s">
        <v>5716</v>
      </c>
      <c r="D1388" s="5" t="s">
        <v>5717</v>
      </c>
      <c r="E1388" s="6" t="s">
        <v>5718</v>
      </c>
      <c r="F1388" s="10"/>
      <c r="G1388" s="11" t="s">
        <v>5719</v>
      </c>
      <c r="H1388" s="12">
        <v>50</v>
      </c>
      <c r="I1388" s="13" t="s">
        <v>41</v>
      </c>
      <c r="J1388" s="13"/>
      <c r="K1388" s="13"/>
      <c r="L1388" s="4">
        <v>20</v>
      </c>
      <c r="M1388" s="14">
        <f>29.7*(1-P3/100)</f>
        <v>29.7</v>
      </c>
      <c r="N1388" s="15"/>
      <c r="O1388" s="13">
        <f t="shared" ref="O1388:O1416" si="54">M1388*N1388</f>
        <v>0</v>
      </c>
      <c r="P1388" s="32">
        <f>0.03*N1388</f>
        <v>0</v>
      </c>
      <c r="Q1388" s="23">
        <f>0.00006*N1388</f>
        <v>0</v>
      </c>
      <c r="R1388" s="24"/>
      <c r="S1388" s="25" t="s">
        <v>5720</v>
      </c>
      <c r="T1388" s="25" t="s">
        <v>43</v>
      </c>
      <c r="U1388" s="5"/>
      <c r="V1388" s="5"/>
      <c r="W1388" s="5" t="s">
        <v>46</v>
      </c>
      <c r="X1388" s="5" t="s">
        <v>5721</v>
      </c>
      <c r="Y1388" s="5"/>
      <c r="Z1388" s="5" t="str">
        <f>HYPERLINK("https://knigipp.ru/api/getInfo/image/65e96061-4ec0-11e8-b825-5cf3fc4a2490")</f>
        <v>https://knigipp.ru/api/getInfo/image/65e96061-4ec0-11e8-b825-5cf3fc4a2490</v>
      </c>
      <c r="AA1388" s="33">
        <v>16</v>
      </c>
      <c r="AB1388" s="5"/>
      <c r="AC1388" s="5" t="s">
        <v>96</v>
      </c>
      <c r="AD1388" s="5"/>
      <c r="AE1388" s="5" t="s">
        <v>49</v>
      </c>
      <c r="AF1388" s="5"/>
      <c r="AG1388" s="5"/>
      <c r="AH1388" s="5" t="s">
        <v>5692</v>
      </c>
    </row>
    <row r="1389" spans="2:34" ht="21" customHeight="1" outlineLevel="5" x14ac:dyDescent="0.2">
      <c r="B1389" s="42">
        <v>1067</v>
      </c>
      <c r="C1389" s="5" t="s">
        <v>5722</v>
      </c>
      <c r="D1389" s="5" t="s">
        <v>5723</v>
      </c>
      <c r="E1389" s="6" t="s">
        <v>5724</v>
      </c>
      <c r="F1389" s="10"/>
      <c r="G1389" s="11" t="s">
        <v>5719</v>
      </c>
      <c r="H1389" s="12">
        <v>50</v>
      </c>
      <c r="I1389" s="13" t="s">
        <v>41</v>
      </c>
      <c r="J1389" s="13"/>
      <c r="K1389" s="13"/>
      <c r="L1389" s="4">
        <v>20</v>
      </c>
      <c r="M1389" s="14">
        <f>29.7*(1-P3/100)</f>
        <v>29.7</v>
      </c>
      <c r="N1389" s="15"/>
      <c r="O1389" s="13">
        <f t="shared" si="54"/>
        <v>0</v>
      </c>
      <c r="P1389" s="32">
        <f>0.03*N1389</f>
        <v>0</v>
      </c>
      <c r="Q1389" s="23">
        <f>0.00006*N1389</f>
        <v>0</v>
      </c>
      <c r="R1389" s="24"/>
      <c r="S1389" s="25" t="s">
        <v>5725</v>
      </c>
      <c r="T1389" s="25" t="s">
        <v>43</v>
      </c>
      <c r="U1389" s="5"/>
      <c r="V1389" s="5"/>
      <c r="W1389" s="5" t="s">
        <v>46</v>
      </c>
      <c r="X1389" s="5" t="s">
        <v>5594</v>
      </c>
      <c r="Y1389" s="5"/>
      <c r="Z1389" s="5" t="str">
        <f>HYPERLINK("https://knigipp.ru/api/getInfo/image/a99572ed-2b7b-11e8-ba06-5cf3fc4a2490")</f>
        <v>https://knigipp.ru/api/getInfo/image/a99572ed-2b7b-11e8-ba06-5cf3fc4a2490</v>
      </c>
      <c r="AA1389" s="33">
        <v>16</v>
      </c>
      <c r="AB1389" s="5"/>
      <c r="AC1389" s="5" t="s">
        <v>96</v>
      </c>
      <c r="AD1389" s="5"/>
      <c r="AE1389" s="5" t="s">
        <v>49</v>
      </c>
      <c r="AF1389" s="5"/>
      <c r="AG1389" s="5" t="s">
        <v>5565</v>
      </c>
      <c r="AH1389" s="5" t="s">
        <v>5692</v>
      </c>
    </row>
    <row r="1390" spans="2:34" ht="21" customHeight="1" outlineLevel="5" x14ac:dyDescent="0.2">
      <c r="B1390" s="42">
        <v>1068</v>
      </c>
      <c r="C1390" s="5" t="s">
        <v>5726</v>
      </c>
      <c r="D1390" s="5" t="s">
        <v>5727</v>
      </c>
      <c r="E1390" s="6" t="s">
        <v>5728</v>
      </c>
      <c r="F1390" s="10"/>
      <c r="G1390" s="11" t="s">
        <v>5729</v>
      </c>
      <c r="H1390" s="12">
        <v>50</v>
      </c>
      <c r="I1390" s="13" t="s">
        <v>41</v>
      </c>
      <c r="J1390" s="13"/>
      <c r="K1390" s="13"/>
      <c r="L1390" s="4">
        <v>20</v>
      </c>
      <c r="M1390" s="14">
        <f>29.7*(1-P3/100)</f>
        <v>29.7</v>
      </c>
      <c r="N1390" s="15"/>
      <c r="O1390" s="13">
        <f t="shared" si="54"/>
        <v>0</v>
      </c>
      <c r="P1390" s="32">
        <f>0.03*N1390</f>
        <v>0</v>
      </c>
      <c r="Q1390" s="23">
        <f>0.00009*N1390</f>
        <v>0</v>
      </c>
      <c r="R1390" s="24"/>
      <c r="S1390" s="25" t="s">
        <v>5730</v>
      </c>
      <c r="T1390" s="25" t="s">
        <v>43</v>
      </c>
      <c r="U1390" s="5"/>
      <c r="V1390" s="5"/>
      <c r="W1390" s="5" t="s">
        <v>46</v>
      </c>
      <c r="X1390" s="5"/>
      <c r="Y1390" s="5"/>
      <c r="Z1390" s="5" t="str">
        <f>HYPERLINK("https://knigipp.ru/api/getInfo/image/352bb6e8-b9b7-11ed-a230-00155d82e902")</f>
        <v>https://knigipp.ru/api/getInfo/image/352bb6e8-b9b7-11ed-a230-00155d82e902</v>
      </c>
      <c r="AA1390" s="33">
        <v>16</v>
      </c>
      <c r="AB1390" s="5"/>
      <c r="AC1390" s="5" t="s">
        <v>96</v>
      </c>
      <c r="AD1390" s="5"/>
      <c r="AE1390" s="5" t="s">
        <v>49</v>
      </c>
      <c r="AF1390" s="5"/>
      <c r="AG1390" s="5"/>
      <c r="AH1390" s="5" t="s">
        <v>5692</v>
      </c>
    </row>
    <row r="1391" spans="2:34" ht="21" customHeight="1" outlineLevel="5" x14ac:dyDescent="0.2">
      <c r="B1391" s="42">
        <v>1069</v>
      </c>
      <c r="C1391" s="5" t="s">
        <v>5731</v>
      </c>
      <c r="D1391" s="5" t="s">
        <v>5732</v>
      </c>
      <c r="E1391" s="6" t="s">
        <v>5733</v>
      </c>
      <c r="F1391" s="10"/>
      <c r="G1391" s="11" t="s">
        <v>5729</v>
      </c>
      <c r="H1391" s="12">
        <v>50</v>
      </c>
      <c r="I1391" s="13" t="s">
        <v>41</v>
      </c>
      <c r="J1391" s="13"/>
      <c r="K1391" s="13"/>
      <c r="L1391" s="4">
        <v>20</v>
      </c>
      <c r="M1391" s="14">
        <f>29.7*(1-P3/100)</f>
        <v>29.7</v>
      </c>
      <c r="N1391" s="15"/>
      <c r="O1391" s="13">
        <f t="shared" si="54"/>
        <v>0</v>
      </c>
      <c r="P1391" s="32">
        <f>0.03*N1391</f>
        <v>0</v>
      </c>
      <c r="Q1391" s="23">
        <f>0.00009*N1391</f>
        <v>0</v>
      </c>
      <c r="R1391" s="24"/>
      <c r="S1391" s="25" t="s">
        <v>5734</v>
      </c>
      <c r="T1391" s="25" t="s">
        <v>43</v>
      </c>
      <c r="U1391" s="5"/>
      <c r="V1391" s="5"/>
      <c r="W1391" s="5" t="s">
        <v>46</v>
      </c>
      <c r="X1391" s="5"/>
      <c r="Y1391" s="5"/>
      <c r="Z1391" s="5" t="str">
        <f>HYPERLINK("https://knigipp.ru/api/getInfo/image/b4ac0be5-b9b4-11ed-a230-00155d82e902")</f>
        <v>https://knigipp.ru/api/getInfo/image/b4ac0be5-b9b4-11ed-a230-00155d82e902</v>
      </c>
      <c r="AA1391" s="33">
        <v>16</v>
      </c>
      <c r="AB1391" s="5"/>
      <c r="AC1391" s="5" t="s">
        <v>96</v>
      </c>
      <c r="AD1391" s="5"/>
      <c r="AE1391" s="5" t="s">
        <v>49</v>
      </c>
      <c r="AF1391" s="5"/>
      <c r="AG1391" s="5"/>
      <c r="AH1391" s="5" t="s">
        <v>5692</v>
      </c>
    </row>
    <row r="1392" spans="2:34" ht="21" customHeight="1" outlineLevel="5" x14ac:dyDescent="0.2">
      <c r="B1392" s="42">
        <v>1070</v>
      </c>
      <c r="C1392" s="5" t="s">
        <v>5735</v>
      </c>
      <c r="D1392" s="5" t="s">
        <v>5736</v>
      </c>
      <c r="E1392" s="6" t="s">
        <v>5737</v>
      </c>
      <c r="F1392" s="10"/>
      <c r="G1392" s="11" t="s">
        <v>5738</v>
      </c>
      <c r="H1392" s="12">
        <v>50</v>
      </c>
      <c r="I1392" s="13" t="s">
        <v>41</v>
      </c>
      <c r="J1392" s="13"/>
      <c r="K1392" s="13"/>
      <c r="L1392" s="4">
        <v>20</v>
      </c>
      <c r="M1392" s="14">
        <f>29.7*(1-P3/100)</f>
        <v>29.7</v>
      </c>
      <c r="N1392" s="15"/>
      <c r="O1392" s="13">
        <f t="shared" si="54"/>
        <v>0</v>
      </c>
      <c r="P1392" s="22">
        <f>0.029*N1392</f>
        <v>0</v>
      </c>
      <c r="Q1392" s="23">
        <f>0.00015*N1392</f>
        <v>0</v>
      </c>
      <c r="R1392" s="24"/>
      <c r="S1392" s="25" t="s">
        <v>5739</v>
      </c>
      <c r="T1392" s="25" t="s">
        <v>43</v>
      </c>
      <c r="U1392" s="5"/>
      <c r="V1392" s="5"/>
      <c r="W1392" s="5" t="s">
        <v>46</v>
      </c>
      <c r="X1392" s="5"/>
      <c r="Y1392" s="5"/>
      <c r="Z1392" s="5" t="str">
        <f>HYPERLINK("https://knigipp.ru/api/getInfo/image/ec69f382-ad48-11e9-a22d-ac1f6b442184")</f>
        <v>https://knigipp.ru/api/getInfo/image/ec69f382-ad48-11e9-a22d-ac1f6b442184</v>
      </c>
      <c r="AA1392" s="33">
        <v>16</v>
      </c>
      <c r="AB1392" s="5"/>
      <c r="AC1392" s="5" t="s">
        <v>96</v>
      </c>
      <c r="AD1392" s="5"/>
      <c r="AE1392" s="5" t="s">
        <v>49</v>
      </c>
      <c r="AF1392" s="5"/>
      <c r="AG1392" s="5"/>
      <c r="AH1392" s="5" t="s">
        <v>5692</v>
      </c>
    </row>
    <row r="1393" spans="2:34" ht="21" customHeight="1" outlineLevel="5" x14ac:dyDescent="0.2">
      <c r="B1393" s="42">
        <v>1071</v>
      </c>
      <c r="C1393" s="5" t="s">
        <v>5740</v>
      </c>
      <c r="D1393" s="5" t="s">
        <v>5741</v>
      </c>
      <c r="E1393" s="6" t="s">
        <v>5742</v>
      </c>
      <c r="F1393" s="10"/>
      <c r="G1393" s="11" t="s">
        <v>5738</v>
      </c>
      <c r="H1393" s="12">
        <v>50</v>
      </c>
      <c r="I1393" s="13" t="s">
        <v>41</v>
      </c>
      <c r="J1393" s="13"/>
      <c r="K1393" s="13"/>
      <c r="L1393" s="4">
        <v>20</v>
      </c>
      <c r="M1393" s="14">
        <f>29.7*(1-P3/100)</f>
        <v>29.7</v>
      </c>
      <c r="N1393" s="15"/>
      <c r="O1393" s="13">
        <f t="shared" si="54"/>
        <v>0</v>
      </c>
      <c r="P1393" s="22">
        <f>0.027*N1393</f>
        <v>0</v>
      </c>
      <c r="Q1393" s="23">
        <f>0.00009*N1393</f>
        <v>0</v>
      </c>
      <c r="R1393" s="24"/>
      <c r="S1393" s="25" t="s">
        <v>5743</v>
      </c>
      <c r="T1393" s="25" t="s">
        <v>43</v>
      </c>
      <c r="U1393" s="5"/>
      <c r="V1393" s="5"/>
      <c r="W1393" s="5" t="s">
        <v>46</v>
      </c>
      <c r="X1393" s="5"/>
      <c r="Y1393" s="5"/>
      <c r="Z1393" s="5" t="str">
        <f>HYPERLINK("https://knigipp.ru/api/getInfo/image/0384a279-ad49-11e9-a22d-ac1f6b442184")</f>
        <v>https://knigipp.ru/api/getInfo/image/0384a279-ad49-11e9-a22d-ac1f6b442184</v>
      </c>
      <c r="AA1393" s="33">
        <v>16</v>
      </c>
      <c r="AB1393" s="5"/>
      <c r="AC1393" s="5" t="s">
        <v>96</v>
      </c>
      <c r="AD1393" s="5"/>
      <c r="AE1393" s="5" t="s">
        <v>49</v>
      </c>
      <c r="AF1393" s="5"/>
      <c r="AG1393" s="5"/>
      <c r="AH1393" s="5" t="s">
        <v>5692</v>
      </c>
    </row>
    <row r="1394" spans="2:34" ht="21" customHeight="1" outlineLevel="5" x14ac:dyDescent="0.2">
      <c r="B1394" s="42">
        <v>1072</v>
      </c>
      <c r="C1394" s="5" t="s">
        <v>5744</v>
      </c>
      <c r="D1394" s="5" t="s">
        <v>5745</v>
      </c>
      <c r="E1394" s="6" t="s">
        <v>5746</v>
      </c>
      <c r="F1394" s="10"/>
      <c r="G1394" s="11" t="s">
        <v>5729</v>
      </c>
      <c r="H1394" s="12">
        <v>50</v>
      </c>
      <c r="I1394" s="13" t="s">
        <v>41</v>
      </c>
      <c r="J1394" s="13"/>
      <c r="K1394" s="13"/>
      <c r="L1394" s="4">
        <v>20</v>
      </c>
      <c r="M1394" s="14">
        <f>29.7*(1-P3/100)</f>
        <v>29.7</v>
      </c>
      <c r="N1394" s="15"/>
      <c r="O1394" s="13">
        <f t="shared" si="54"/>
        <v>0</v>
      </c>
      <c r="P1394" s="32">
        <f t="shared" ref="P1394:P1399" si="55">0.03*N1394</f>
        <v>0</v>
      </c>
      <c r="Q1394" s="23">
        <f>0.00009*N1394</f>
        <v>0</v>
      </c>
      <c r="R1394" s="24"/>
      <c r="S1394" s="25" t="s">
        <v>5747</v>
      </c>
      <c r="T1394" s="25" t="s">
        <v>43</v>
      </c>
      <c r="U1394" s="5"/>
      <c r="V1394" s="5"/>
      <c r="W1394" s="5" t="s">
        <v>46</v>
      </c>
      <c r="X1394" s="5"/>
      <c r="Y1394" s="5"/>
      <c r="Z1394" s="5" t="str">
        <f>HYPERLINK("https://knigipp.ru/api/getInfo/image/0513b2c8-b9b4-11ed-a230-00155d82e902")</f>
        <v>https://knigipp.ru/api/getInfo/image/0513b2c8-b9b4-11ed-a230-00155d82e902</v>
      </c>
      <c r="AA1394" s="33">
        <v>16</v>
      </c>
      <c r="AB1394" s="5"/>
      <c r="AC1394" s="5" t="s">
        <v>96</v>
      </c>
      <c r="AD1394" s="5"/>
      <c r="AE1394" s="5" t="s">
        <v>49</v>
      </c>
      <c r="AF1394" s="5"/>
      <c r="AG1394" s="5"/>
      <c r="AH1394" s="5" t="s">
        <v>5692</v>
      </c>
    </row>
    <row r="1395" spans="2:34" ht="21" customHeight="1" outlineLevel="5" x14ac:dyDescent="0.2">
      <c r="B1395" s="42">
        <v>1073</v>
      </c>
      <c r="C1395" s="5" t="s">
        <v>5748</v>
      </c>
      <c r="D1395" s="5" t="s">
        <v>5749</v>
      </c>
      <c r="E1395" s="6" t="s">
        <v>5750</v>
      </c>
      <c r="F1395" s="10"/>
      <c r="G1395" s="11" t="s">
        <v>5729</v>
      </c>
      <c r="H1395" s="12">
        <v>50</v>
      </c>
      <c r="I1395" s="13" t="s">
        <v>41</v>
      </c>
      <c r="J1395" s="13"/>
      <c r="K1395" s="13"/>
      <c r="L1395" s="4">
        <v>20</v>
      </c>
      <c r="M1395" s="14">
        <f>29.7*(1-P3/100)</f>
        <v>29.7</v>
      </c>
      <c r="N1395" s="15"/>
      <c r="O1395" s="13">
        <f t="shared" si="54"/>
        <v>0</v>
      </c>
      <c r="P1395" s="32">
        <f t="shared" si="55"/>
        <v>0</v>
      </c>
      <c r="Q1395" s="23">
        <f>0.00009*N1395</f>
        <v>0</v>
      </c>
      <c r="R1395" s="24"/>
      <c r="S1395" s="25" t="s">
        <v>5751</v>
      </c>
      <c r="T1395" s="25" t="s">
        <v>43</v>
      </c>
      <c r="U1395" s="5"/>
      <c r="V1395" s="5"/>
      <c r="W1395" s="5" t="s">
        <v>46</v>
      </c>
      <c r="X1395" s="5"/>
      <c r="Y1395" s="5"/>
      <c r="Z1395" s="5" t="str">
        <f>HYPERLINK("https://knigipp.ru/api/getInfo/image/37f9919c-b9b4-11ed-a230-00155d82e902")</f>
        <v>https://knigipp.ru/api/getInfo/image/37f9919c-b9b4-11ed-a230-00155d82e902</v>
      </c>
      <c r="AA1395" s="33">
        <v>16</v>
      </c>
      <c r="AB1395" s="5"/>
      <c r="AC1395" s="5" t="s">
        <v>96</v>
      </c>
      <c r="AD1395" s="5"/>
      <c r="AE1395" s="5" t="s">
        <v>49</v>
      </c>
      <c r="AF1395" s="5"/>
      <c r="AG1395" s="5"/>
      <c r="AH1395" s="5" t="s">
        <v>5692</v>
      </c>
    </row>
    <row r="1396" spans="2:34" ht="21" customHeight="1" outlineLevel="5" x14ac:dyDescent="0.2">
      <c r="B1396" s="42">
        <v>1074</v>
      </c>
      <c r="C1396" s="5" t="s">
        <v>5752</v>
      </c>
      <c r="D1396" s="5" t="s">
        <v>5753</v>
      </c>
      <c r="E1396" s="6" t="s">
        <v>5754</v>
      </c>
      <c r="F1396" s="10"/>
      <c r="G1396" s="11" t="s">
        <v>5738</v>
      </c>
      <c r="H1396" s="12">
        <v>50</v>
      </c>
      <c r="I1396" s="13" t="s">
        <v>41</v>
      </c>
      <c r="J1396" s="13"/>
      <c r="K1396" s="13"/>
      <c r="L1396" s="4">
        <v>20</v>
      </c>
      <c r="M1396" s="14">
        <f>29.7*(1-P3/100)</f>
        <v>29.7</v>
      </c>
      <c r="N1396" s="15"/>
      <c r="O1396" s="13">
        <f t="shared" si="54"/>
        <v>0</v>
      </c>
      <c r="P1396" s="32">
        <f t="shared" si="55"/>
        <v>0</v>
      </c>
      <c r="Q1396" s="23">
        <f>0.00006*N1396</f>
        <v>0</v>
      </c>
      <c r="R1396" s="24"/>
      <c r="S1396" s="25" t="s">
        <v>5755</v>
      </c>
      <c r="T1396" s="25" t="s">
        <v>43</v>
      </c>
      <c r="U1396" s="5"/>
      <c r="V1396" s="5"/>
      <c r="W1396" s="5" t="s">
        <v>46</v>
      </c>
      <c r="X1396" s="5"/>
      <c r="Y1396" s="5"/>
      <c r="Z1396" s="5" t="str">
        <f>HYPERLINK("https://knigipp.ru/api/getInfo/image/12fd3bd5-ad49-11e9-a22d-ac1f6b442184")</f>
        <v>https://knigipp.ru/api/getInfo/image/12fd3bd5-ad49-11e9-a22d-ac1f6b442184</v>
      </c>
      <c r="AA1396" s="33">
        <v>16</v>
      </c>
      <c r="AB1396" s="5"/>
      <c r="AC1396" s="5" t="s">
        <v>96</v>
      </c>
      <c r="AD1396" s="5"/>
      <c r="AE1396" s="5" t="s">
        <v>49</v>
      </c>
      <c r="AF1396" s="5"/>
      <c r="AG1396" s="5"/>
      <c r="AH1396" s="5" t="s">
        <v>5692</v>
      </c>
    </row>
    <row r="1397" spans="2:34" ht="21" customHeight="1" outlineLevel="5" x14ac:dyDescent="0.2">
      <c r="B1397" s="42">
        <v>1075</v>
      </c>
      <c r="C1397" s="5" t="s">
        <v>5756</v>
      </c>
      <c r="D1397" s="5" t="s">
        <v>5757</v>
      </c>
      <c r="E1397" s="6" t="s">
        <v>5758</v>
      </c>
      <c r="F1397" s="10"/>
      <c r="G1397" s="11" t="s">
        <v>5719</v>
      </c>
      <c r="H1397" s="12">
        <v>50</v>
      </c>
      <c r="I1397" s="13" t="s">
        <v>41</v>
      </c>
      <c r="J1397" s="13"/>
      <c r="K1397" s="13"/>
      <c r="L1397" s="4">
        <v>20</v>
      </c>
      <c r="M1397" s="14">
        <f>29.7*(1-P3/100)</f>
        <v>29.7</v>
      </c>
      <c r="N1397" s="15"/>
      <c r="O1397" s="13">
        <f t="shared" si="54"/>
        <v>0</v>
      </c>
      <c r="P1397" s="32">
        <f t="shared" si="55"/>
        <v>0</v>
      </c>
      <c r="Q1397" s="23">
        <f>0.00006*N1397</f>
        <v>0</v>
      </c>
      <c r="R1397" s="24"/>
      <c r="S1397" s="25" t="s">
        <v>5759</v>
      </c>
      <c r="T1397" s="25" t="s">
        <v>43</v>
      </c>
      <c r="U1397" s="5"/>
      <c r="V1397" s="5"/>
      <c r="W1397" s="5" t="s">
        <v>46</v>
      </c>
      <c r="X1397" s="5" t="s">
        <v>5721</v>
      </c>
      <c r="Y1397" s="5"/>
      <c r="Z1397" s="5" t="str">
        <f>HYPERLINK("https://knigipp.ru/api/getInfo/image/48d5e7b0-4ec0-11e8-b825-5cf3fc4a2490")</f>
        <v>https://knigipp.ru/api/getInfo/image/48d5e7b0-4ec0-11e8-b825-5cf3fc4a2490</v>
      </c>
      <c r="AA1397" s="33">
        <v>16</v>
      </c>
      <c r="AB1397" s="5"/>
      <c r="AC1397" s="5" t="s">
        <v>96</v>
      </c>
      <c r="AD1397" s="5"/>
      <c r="AE1397" s="5" t="s">
        <v>49</v>
      </c>
      <c r="AF1397" s="5"/>
      <c r="AG1397" s="5"/>
      <c r="AH1397" s="5" t="s">
        <v>5692</v>
      </c>
    </row>
    <row r="1398" spans="2:34" ht="21" customHeight="1" outlineLevel="5" x14ac:dyDescent="0.2">
      <c r="B1398" s="42">
        <v>1076</v>
      </c>
      <c r="C1398" s="5" t="s">
        <v>5760</v>
      </c>
      <c r="D1398" s="5" t="s">
        <v>5761</v>
      </c>
      <c r="E1398" s="6" t="s">
        <v>5762</v>
      </c>
      <c r="F1398" s="10"/>
      <c r="G1398" s="11" t="s">
        <v>5719</v>
      </c>
      <c r="H1398" s="12">
        <v>50</v>
      </c>
      <c r="I1398" s="13" t="s">
        <v>41</v>
      </c>
      <c r="J1398" s="13"/>
      <c r="K1398" s="13"/>
      <c r="L1398" s="4">
        <v>20</v>
      </c>
      <c r="M1398" s="14">
        <f>29.7*(1-P3/100)</f>
        <v>29.7</v>
      </c>
      <c r="N1398" s="15"/>
      <c r="O1398" s="13">
        <f t="shared" si="54"/>
        <v>0</v>
      </c>
      <c r="P1398" s="32">
        <f t="shared" si="55"/>
        <v>0</v>
      </c>
      <c r="Q1398" s="23">
        <f>0.00006*N1398</f>
        <v>0</v>
      </c>
      <c r="R1398" s="24"/>
      <c r="S1398" s="25" t="s">
        <v>5763</v>
      </c>
      <c r="T1398" s="25" t="s">
        <v>43</v>
      </c>
      <c r="U1398" s="5"/>
      <c r="V1398" s="5"/>
      <c r="W1398" s="5" t="s">
        <v>46</v>
      </c>
      <c r="X1398" s="5" t="s">
        <v>5721</v>
      </c>
      <c r="Y1398" s="5"/>
      <c r="Z1398" s="5" t="str">
        <f>HYPERLINK("https://knigipp.ru/api/getInfo/image/1aadaacc-4ec0-11e8-b825-5cf3fc4a2490")</f>
        <v>https://knigipp.ru/api/getInfo/image/1aadaacc-4ec0-11e8-b825-5cf3fc4a2490</v>
      </c>
      <c r="AA1398" s="33">
        <v>16</v>
      </c>
      <c r="AB1398" s="5"/>
      <c r="AC1398" s="5" t="s">
        <v>96</v>
      </c>
      <c r="AD1398" s="5"/>
      <c r="AE1398" s="5" t="s">
        <v>49</v>
      </c>
      <c r="AF1398" s="5"/>
      <c r="AG1398" s="5"/>
      <c r="AH1398" s="5" t="s">
        <v>5692</v>
      </c>
    </row>
    <row r="1399" spans="2:34" ht="21" customHeight="1" outlineLevel="5" x14ac:dyDescent="0.2">
      <c r="B1399" s="42">
        <v>1077</v>
      </c>
      <c r="C1399" s="5" t="s">
        <v>5764</v>
      </c>
      <c r="D1399" s="5" t="s">
        <v>5765</v>
      </c>
      <c r="E1399" s="6" t="s">
        <v>5766</v>
      </c>
      <c r="F1399" s="10"/>
      <c r="G1399" s="11" t="s">
        <v>5719</v>
      </c>
      <c r="H1399" s="12">
        <v>50</v>
      </c>
      <c r="I1399" s="13" t="s">
        <v>41</v>
      </c>
      <c r="J1399" s="13"/>
      <c r="K1399" s="13"/>
      <c r="L1399" s="4">
        <v>20</v>
      </c>
      <c r="M1399" s="14">
        <f>29.7*(1-P3/100)</f>
        <v>29.7</v>
      </c>
      <c r="N1399" s="15"/>
      <c r="O1399" s="13">
        <f t="shared" si="54"/>
        <v>0</v>
      </c>
      <c r="P1399" s="32">
        <f t="shared" si="55"/>
        <v>0</v>
      </c>
      <c r="Q1399" s="23">
        <f>0.00006*N1399</f>
        <v>0</v>
      </c>
      <c r="R1399" s="24"/>
      <c r="S1399" s="25" t="s">
        <v>5767</v>
      </c>
      <c r="T1399" s="25" t="s">
        <v>43</v>
      </c>
      <c r="U1399" s="5"/>
      <c r="V1399" s="5"/>
      <c r="W1399" s="5" t="s">
        <v>46</v>
      </c>
      <c r="X1399" s="5"/>
      <c r="Y1399" s="5"/>
      <c r="Z1399" s="5" t="str">
        <f>HYPERLINK("https://knigipp.ru/api/getInfo/image/e9bcb2ae-1a9e-11eb-a25d-ac1f6b442184")</f>
        <v>https://knigipp.ru/api/getInfo/image/e9bcb2ae-1a9e-11eb-a25d-ac1f6b442184</v>
      </c>
      <c r="AA1399" s="33">
        <v>16</v>
      </c>
      <c r="AB1399" s="5"/>
      <c r="AC1399" s="5" t="s">
        <v>96</v>
      </c>
      <c r="AD1399" s="5"/>
      <c r="AE1399" s="5" t="s">
        <v>49</v>
      </c>
      <c r="AF1399" s="5"/>
      <c r="AG1399" s="5"/>
      <c r="AH1399" s="5" t="s">
        <v>5692</v>
      </c>
    </row>
    <row r="1400" spans="2:34" ht="21" customHeight="1" outlineLevel="5" x14ac:dyDescent="0.2">
      <c r="B1400" s="42">
        <v>1078</v>
      </c>
      <c r="C1400" s="5" t="s">
        <v>5768</v>
      </c>
      <c r="D1400" s="5" t="s">
        <v>5769</v>
      </c>
      <c r="E1400" s="6" t="s">
        <v>5770</v>
      </c>
      <c r="F1400" s="10"/>
      <c r="G1400" s="11" t="s">
        <v>5729</v>
      </c>
      <c r="H1400" s="12">
        <v>50</v>
      </c>
      <c r="I1400" s="13" t="s">
        <v>41</v>
      </c>
      <c r="J1400" s="13"/>
      <c r="K1400" s="13"/>
      <c r="L1400" s="4">
        <v>20</v>
      </c>
      <c r="M1400" s="14">
        <f>29.7*(1-P3/100)</f>
        <v>29.7</v>
      </c>
      <c r="N1400" s="15"/>
      <c r="O1400" s="13">
        <f t="shared" si="54"/>
        <v>0</v>
      </c>
      <c r="P1400" s="22">
        <f>0.045*N1400</f>
        <v>0</v>
      </c>
      <c r="Q1400" s="23">
        <f>0.00007*N1400</f>
        <v>0</v>
      </c>
      <c r="R1400" s="24"/>
      <c r="S1400" s="25" t="s">
        <v>5771</v>
      </c>
      <c r="T1400" s="25" t="s">
        <v>43</v>
      </c>
      <c r="U1400" s="5"/>
      <c r="V1400" s="5"/>
      <c r="W1400" s="5" t="s">
        <v>46</v>
      </c>
      <c r="X1400" s="5"/>
      <c r="Y1400" s="5"/>
      <c r="Z1400" s="5" t="str">
        <f>HYPERLINK("https://knigipp.ru/api/getInfo/image/8044b203-b9b6-11ed-a230-00155d82e902")</f>
        <v>https://knigipp.ru/api/getInfo/image/8044b203-b9b6-11ed-a230-00155d82e902</v>
      </c>
      <c r="AA1400" s="33">
        <v>16</v>
      </c>
      <c r="AB1400" s="5"/>
      <c r="AC1400" s="5" t="s">
        <v>96</v>
      </c>
      <c r="AD1400" s="5"/>
      <c r="AE1400" s="5" t="s">
        <v>49</v>
      </c>
      <c r="AF1400" s="5"/>
      <c r="AG1400" s="5"/>
      <c r="AH1400" s="5" t="s">
        <v>5692</v>
      </c>
    </row>
    <row r="1401" spans="2:34" ht="21" customHeight="1" outlineLevel="5" x14ac:dyDescent="0.2">
      <c r="B1401" s="42">
        <v>1079</v>
      </c>
      <c r="C1401" s="5" t="s">
        <v>5772</v>
      </c>
      <c r="D1401" s="5" t="s">
        <v>5773</v>
      </c>
      <c r="E1401" s="6" t="s">
        <v>5774</v>
      </c>
      <c r="F1401" s="10"/>
      <c r="G1401" s="11" t="s">
        <v>5719</v>
      </c>
      <c r="H1401" s="12">
        <v>50</v>
      </c>
      <c r="I1401" s="13" t="s">
        <v>41</v>
      </c>
      <c r="J1401" s="13"/>
      <c r="K1401" s="13"/>
      <c r="L1401" s="4">
        <v>20</v>
      </c>
      <c r="M1401" s="14">
        <f>29.7*(1-P3/100)</f>
        <v>29.7</v>
      </c>
      <c r="N1401" s="15"/>
      <c r="O1401" s="13">
        <f t="shared" si="54"/>
        <v>0</v>
      </c>
      <c r="P1401" s="32">
        <f t="shared" ref="P1401:P1411" si="56">0.03*N1401</f>
        <v>0</v>
      </c>
      <c r="Q1401" s="23">
        <f>0.00006*N1401</f>
        <v>0</v>
      </c>
      <c r="R1401" s="24"/>
      <c r="S1401" s="25" t="s">
        <v>5775</v>
      </c>
      <c r="T1401" s="25" t="s">
        <v>43</v>
      </c>
      <c r="U1401" s="5"/>
      <c r="V1401" s="5"/>
      <c r="W1401" s="5" t="s">
        <v>46</v>
      </c>
      <c r="X1401" s="5" t="s">
        <v>5721</v>
      </c>
      <c r="Y1401" s="5"/>
      <c r="Z1401" s="5" t="str">
        <f>HYPERLINK("https://knigipp.ru/api/getInfo/image/113d9335-4ec0-11e8-b825-5cf3fc4a2490")</f>
        <v>https://knigipp.ru/api/getInfo/image/113d9335-4ec0-11e8-b825-5cf3fc4a2490</v>
      </c>
      <c r="AA1401" s="33">
        <v>16</v>
      </c>
      <c r="AB1401" s="5"/>
      <c r="AC1401" s="5" t="s">
        <v>96</v>
      </c>
      <c r="AD1401" s="5"/>
      <c r="AE1401" s="5" t="s">
        <v>49</v>
      </c>
      <c r="AF1401" s="5"/>
      <c r="AG1401" s="5"/>
      <c r="AH1401" s="5" t="s">
        <v>5692</v>
      </c>
    </row>
    <row r="1402" spans="2:34" ht="21" customHeight="1" outlineLevel="5" x14ac:dyDescent="0.2">
      <c r="B1402" s="42">
        <v>1080</v>
      </c>
      <c r="C1402" s="5" t="s">
        <v>5776</v>
      </c>
      <c r="D1402" s="5" t="s">
        <v>5777</v>
      </c>
      <c r="E1402" s="6" t="s">
        <v>5778</v>
      </c>
      <c r="F1402" s="10"/>
      <c r="G1402" s="11" t="s">
        <v>5719</v>
      </c>
      <c r="H1402" s="12">
        <v>50</v>
      </c>
      <c r="I1402" s="13" t="s">
        <v>41</v>
      </c>
      <c r="J1402" s="13"/>
      <c r="K1402" s="13"/>
      <c r="L1402" s="4">
        <v>20</v>
      </c>
      <c r="M1402" s="14">
        <f>29.7*(1-P3/100)</f>
        <v>29.7</v>
      </c>
      <c r="N1402" s="15"/>
      <c r="O1402" s="13">
        <f t="shared" si="54"/>
        <v>0</v>
      </c>
      <c r="P1402" s="32">
        <f t="shared" si="56"/>
        <v>0</v>
      </c>
      <c r="Q1402" s="23">
        <f>0.00006*N1402</f>
        <v>0</v>
      </c>
      <c r="R1402" s="24"/>
      <c r="S1402" s="25" t="s">
        <v>5779</v>
      </c>
      <c r="T1402" s="25" t="s">
        <v>43</v>
      </c>
      <c r="U1402" s="5"/>
      <c r="V1402" s="5"/>
      <c r="W1402" s="5" t="s">
        <v>46</v>
      </c>
      <c r="X1402" s="5" t="s">
        <v>5594</v>
      </c>
      <c r="Y1402" s="5"/>
      <c r="Z1402" s="5" t="str">
        <f>HYPERLINK("https://knigipp.ru/api/getInfo/image/e09377f9-2b7b-11e8-ba06-5cf3fc4a2490")</f>
        <v>https://knigipp.ru/api/getInfo/image/e09377f9-2b7b-11e8-ba06-5cf3fc4a2490</v>
      </c>
      <c r="AA1402" s="33">
        <v>16</v>
      </c>
      <c r="AB1402" s="5"/>
      <c r="AC1402" s="5" t="s">
        <v>96</v>
      </c>
      <c r="AD1402" s="5"/>
      <c r="AE1402" s="5" t="s">
        <v>49</v>
      </c>
      <c r="AF1402" s="5"/>
      <c r="AG1402" s="5" t="s">
        <v>5565</v>
      </c>
      <c r="AH1402" s="5" t="s">
        <v>5692</v>
      </c>
    </row>
    <row r="1403" spans="2:34" ht="21" customHeight="1" outlineLevel="5" x14ac:dyDescent="0.2">
      <c r="B1403" s="42">
        <v>1081</v>
      </c>
      <c r="C1403" s="5" t="s">
        <v>5780</v>
      </c>
      <c r="D1403" s="5" t="s">
        <v>5781</v>
      </c>
      <c r="E1403" s="6" t="s">
        <v>5782</v>
      </c>
      <c r="F1403" s="10"/>
      <c r="G1403" s="11" t="s">
        <v>5729</v>
      </c>
      <c r="H1403" s="12">
        <v>50</v>
      </c>
      <c r="I1403" s="13" t="s">
        <v>41</v>
      </c>
      <c r="J1403" s="13"/>
      <c r="K1403" s="13"/>
      <c r="L1403" s="4">
        <v>20</v>
      </c>
      <c r="M1403" s="14">
        <f>29.7*(1-P3/100)</f>
        <v>29.7</v>
      </c>
      <c r="N1403" s="15"/>
      <c r="O1403" s="13">
        <f t="shared" si="54"/>
        <v>0</v>
      </c>
      <c r="P1403" s="32">
        <f t="shared" si="56"/>
        <v>0</v>
      </c>
      <c r="Q1403" s="23">
        <f>0.00009*N1403</f>
        <v>0</v>
      </c>
      <c r="R1403" s="24"/>
      <c r="S1403" s="25" t="s">
        <v>5783</v>
      </c>
      <c r="T1403" s="25" t="s">
        <v>43</v>
      </c>
      <c r="U1403" s="5"/>
      <c r="V1403" s="5"/>
      <c r="W1403" s="5" t="s">
        <v>46</v>
      </c>
      <c r="X1403" s="5"/>
      <c r="Y1403" s="5"/>
      <c r="Z1403" s="5" t="str">
        <f>HYPERLINK("https://knigipp.ru/api/getInfo/image/606123a3-b9b6-11ed-a230-00155d82e902")</f>
        <v>https://knigipp.ru/api/getInfo/image/606123a3-b9b6-11ed-a230-00155d82e902</v>
      </c>
      <c r="AA1403" s="33">
        <v>16</v>
      </c>
      <c r="AB1403" s="5"/>
      <c r="AC1403" s="5" t="s">
        <v>96</v>
      </c>
      <c r="AD1403" s="5"/>
      <c r="AE1403" s="5" t="s">
        <v>49</v>
      </c>
      <c r="AF1403" s="5"/>
      <c r="AG1403" s="5"/>
      <c r="AH1403" s="5" t="s">
        <v>5692</v>
      </c>
    </row>
    <row r="1404" spans="2:34" ht="21" customHeight="1" outlineLevel="5" x14ac:dyDescent="0.2">
      <c r="B1404" s="42">
        <v>1082</v>
      </c>
      <c r="C1404" s="5" t="s">
        <v>5784</v>
      </c>
      <c r="D1404" s="5" t="s">
        <v>5785</v>
      </c>
      <c r="E1404" s="6" t="s">
        <v>5786</v>
      </c>
      <c r="F1404" s="10"/>
      <c r="G1404" s="11" t="s">
        <v>5729</v>
      </c>
      <c r="H1404" s="12">
        <v>50</v>
      </c>
      <c r="I1404" s="13" t="s">
        <v>41</v>
      </c>
      <c r="J1404" s="13"/>
      <c r="K1404" s="13"/>
      <c r="L1404" s="4">
        <v>20</v>
      </c>
      <c r="M1404" s="14">
        <f>29.7*(1-P3/100)</f>
        <v>29.7</v>
      </c>
      <c r="N1404" s="15"/>
      <c r="O1404" s="13">
        <f t="shared" si="54"/>
        <v>0</v>
      </c>
      <c r="P1404" s="32">
        <f t="shared" si="56"/>
        <v>0</v>
      </c>
      <c r="Q1404" s="23">
        <f>0.00009*N1404</f>
        <v>0</v>
      </c>
      <c r="R1404" s="24"/>
      <c r="S1404" s="25" t="s">
        <v>5787</v>
      </c>
      <c r="T1404" s="25" t="s">
        <v>43</v>
      </c>
      <c r="U1404" s="5"/>
      <c r="V1404" s="5"/>
      <c r="W1404" s="5" t="s">
        <v>46</v>
      </c>
      <c r="X1404" s="5"/>
      <c r="Y1404" s="5"/>
      <c r="Z1404" s="5" t="str">
        <f>HYPERLINK("https://knigipp.ru/api/getInfo/image/9e7fdc6d-b9b6-11ed-a230-00155d82e902")</f>
        <v>https://knigipp.ru/api/getInfo/image/9e7fdc6d-b9b6-11ed-a230-00155d82e902</v>
      </c>
      <c r="AA1404" s="33">
        <v>16</v>
      </c>
      <c r="AB1404" s="5"/>
      <c r="AC1404" s="5" t="s">
        <v>96</v>
      </c>
      <c r="AD1404" s="5"/>
      <c r="AE1404" s="5" t="s">
        <v>49</v>
      </c>
      <c r="AF1404" s="5"/>
      <c r="AG1404" s="5"/>
      <c r="AH1404" s="5" t="s">
        <v>5692</v>
      </c>
    </row>
    <row r="1405" spans="2:34" ht="21" customHeight="1" outlineLevel="5" x14ac:dyDescent="0.2">
      <c r="B1405" s="42">
        <v>1083</v>
      </c>
      <c r="C1405" s="5" t="s">
        <v>5788</v>
      </c>
      <c r="D1405" s="5" t="s">
        <v>5789</v>
      </c>
      <c r="E1405" s="6" t="s">
        <v>5790</v>
      </c>
      <c r="F1405" s="10"/>
      <c r="G1405" s="11" t="s">
        <v>5729</v>
      </c>
      <c r="H1405" s="12">
        <v>50</v>
      </c>
      <c r="I1405" s="13" t="s">
        <v>41</v>
      </c>
      <c r="J1405" s="13"/>
      <c r="K1405" s="13"/>
      <c r="L1405" s="4">
        <v>20</v>
      </c>
      <c r="M1405" s="14">
        <f>29.7*(1-P3/100)</f>
        <v>29.7</v>
      </c>
      <c r="N1405" s="15"/>
      <c r="O1405" s="13">
        <f t="shared" si="54"/>
        <v>0</v>
      </c>
      <c r="P1405" s="32">
        <f t="shared" si="56"/>
        <v>0</v>
      </c>
      <c r="Q1405" s="23">
        <f>0.00009*N1405</f>
        <v>0</v>
      </c>
      <c r="R1405" s="24"/>
      <c r="S1405" s="25" t="s">
        <v>5791</v>
      </c>
      <c r="T1405" s="25" t="s">
        <v>43</v>
      </c>
      <c r="U1405" s="5"/>
      <c r="V1405" s="5"/>
      <c r="W1405" s="5" t="s">
        <v>46</v>
      </c>
      <c r="X1405" s="5"/>
      <c r="Y1405" s="5"/>
      <c r="Z1405" s="5" t="str">
        <f>HYPERLINK("https://knigipp.ru/api/getInfo/image/ece63155-b9b6-11ed-a230-00155d82e902")</f>
        <v>https://knigipp.ru/api/getInfo/image/ece63155-b9b6-11ed-a230-00155d82e902</v>
      </c>
      <c r="AA1405" s="33">
        <v>16</v>
      </c>
      <c r="AB1405" s="5"/>
      <c r="AC1405" s="5" t="s">
        <v>96</v>
      </c>
      <c r="AD1405" s="5"/>
      <c r="AE1405" s="5" t="s">
        <v>49</v>
      </c>
      <c r="AF1405" s="5"/>
      <c r="AG1405" s="5"/>
      <c r="AH1405" s="5" t="s">
        <v>5692</v>
      </c>
    </row>
    <row r="1406" spans="2:34" ht="21" customHeight="1" outlineLevel="5" x14ac:dyDescent="0.2">
      <c r="B1406" s="42">
        <v>1084</v>
      </c>
      <c r="C1406" s="5" t="s">
        <v>5792</v>
      </c>
      <c r="D1406" s="5" t="s">
        <v>5793</v>
      </c>
      <c r="E1406" s="6" t="s">
        <v>5794</v>
      </c>
      <c r="F1406" s="10"/>
      <c r="G1406" s="11" t="s">
        <v>5729</v>
      </c>
      <c r="H1406" s="12">
        <v>50</v>
      </c>
      <c r="I1406" s="13" t="s">
        <v>41</v>
      </c>
      <c r="J1406" s="13"/>
      <c r="K1406" s="13"/>
      <c r="L1406" s="4">
        <v>20</v>
      </c>
      <c r="M1406" s="14">
        <f>29.7*(1-P3/100)</f>
        <v>29.7</v>
      </c>
      <c r="N1406" s="15"/>
      <c r="O1406" s="13">
        <f t="shared" si="54"/>
        <v>0</v>
      </c>
      <c r="P1406" s="32">
        <f t="shared" si="56"/>
        <v>0</v>
      </c>
      <c r="Q1406" s="23">
        <f>0.00009*N1406</f>
        <v>0</v>
      </c>
      <c r="R1406" s="24"/>
      <c r="S1406" s="25" t="s">
        <v>5795</v>
      </c>
      <c r="T1406" s="25" t="s">
        <v>43</v>
      </c>
      <c r="U1406" s="5"/>
      <c r="V1406" s="5"/>
      <c r="W1406" s="5" t="s">
        <v>46</v>
      </c>
      <c r="X1406" s="5"/>
      <c r="Y1406" s="5"/>
      <c r="Z1406" s="5" t="str">
        <f>HYPERLINK("https://knigipp.ru/api/getInfo/image/591a47b7-b9b4-11ed-a230-00155d82e902")</f>
        <v>https://knigipp.ru/api/getInfo/image/591a47b7-b9b4-11ed-a230-00155d82e902</v>
      </c>
      <c r="AA1406" s="33">
        <v>16</v>
      </c>
      <c r="AB1406" s="5"/>
      <c r="AC1406" s="5" t="s">
        <v>96</v>
      </c>
      <c r="AD1406" s="5"/>
      <c r="AE1406" s="5" t="s">
        <v>49</v>
      </c>
      <c r="AF1406" s="5"/>
      <c r="AG1406" s="5"/>
      <c r="AH1406" s="5" t="s">
        <v>5692</v>
      </c>
    </row>
    <row r="1407" spans="2:34" ht="21" customHeight="1" outlineLevel="5" x14ac:dyDescent="0.2">
      <c r="B1407" s="42">
        <v>1085</v>
      </c>
      <c r="C1407" s="5" t="s">
        <v>5796</v>
      </c>
      <c r="D1407" s="5" t="s">
        <v>5797</v>
      </c>
      <c r="E1407" s="6" t="s">
        <v>5798</v>
      </c>
      <c r="F1407" s="10"/>
      <c r="G1407" s="11" t="s">
        <v>5719</v>
      </c>
      <c r="H1407" s="12">
        <v>50</v>
      </c>
      <c r="I1407" s="13" t="s">
        <v>41</v>
      </c>
      <c r="J1407" s="13"/>
      <c r="K1407" s="13"/>
      <c r="L1407" s="4">
        <v>20</v>
      </c>
      <c r="M1407" s="14">
        <f>29.7*(1-P3/100)</f>
        <v>29.7</v>
      </c>
      <c r="N1407" s="15"/>
      <c r="O1407" s="13">
        <f t="shared" si="54"/>
        <v>0</v>
      </c>
      <c r="P1407" s="32">
        <f t="shared" si="56"/>
        <v>0</v>
      </c>
      <c r="Q1407" s="23">
        <f>0.00006*N1407</f>
        <v>0</v>
      </c>
      <c r="R1407" s="24"/>
      <c r="S1407" s="25" t="s">
        <v>5799</v>
      </c>
      <c r="T1407" s="25" t="s">
        <v>43</v>
      </c>
      <c r="U1407" s="5"/>
      <c r="V1407" s="5"/>
      <c r="W1407" s="5" t="s">
        <v>46</v>
      </c>
      <c r="X1407" s="5"/>
      <c r="Y1407" s="5"/>
      <c r="Z1407" s="5" t="str">
        <f>HYPERLINK("https://knigipp.ru/api/getInfo/image/1c284ef1-5a2f-11ea-a242-ac1f6b442184")</f>
        <v>https://knigipp.ru/api/getInfo/image/1c284ef1-5a2f-11ea-a242-ac1f6b442184</v>
      </c>
      <c r="AA1407" s="33">
        <v>16</v>
      </c>
      <c r="AB1407" s="5"/>
      <c r="AC1407" s="5" t="s">
        <v>96</v>
      </c>
      <c r="AD1407" s="5"/>
      <c r="AE1407" s="5" t="s">
        <v>49</v>
      </c>
      <c r="AF1407" s="5"/>
      <c r="AG1407" s="5" t="s">
        <v>5565</v>
      </c>
      <c r="AH1407" s="5" t="s">
        <v>5692</v>
      </c>
    </row>
    <row r="1408" spans="2:34" ht="21" customHeight="1" outlineLevel="5" x14ac:dyDescent="0.2">
      <c r="B1408" s="42">
        <v>1086</v>
      </c>
      <c r="C1408" s="5" t="s">
        <v>5800</v>
      </c>
      <c r="D1408" s="5" t="s">
        <v>5801</v>
      </c>
      <c r="E1408" s="6" t="s">
        <v>5802</v>
      </c>
      <c r="F1408" s="10"/>
      <c r="G1408" s="11" t="s">
        <v>5729</v>
      </c>
      <c r="H1408" s="12">
        <v>50</v>
      </c>
      <c r="I1408" s="13" t="s">
        <v>41</v>
      </c>
      <c r="J1408" s="13"/>
      <c r="K1408" s="13"/>
      <c r="L1408" s="4">
        <v>20</v>
      </c>
      <c r="M1408" s="14">
        <f>29.7*(1-P3/100)</f>
        <v>29.7</v>
      </c>
      <c r="N1408" s="15"/>
      <c r="O1408" s="13">
        <f t="shared" si="54"/>
        <v>0</v>
      </c>
      <c r="P1408" s="32">
        <f t="shared" si="56"/>
        <v>0</v>
      </c>
      <c r="Q1408" s="23">
        <f>0.00009*N1408</f>
        <v>0</v>
      </c>
      <c r="R1408" s="24"/>
      <c r="S1408" s="25" t="s">
        <v>5803</v>
      </c>
      <c r="T1408" s="25" t="s">
        <v>43</v>
      </c>
      <c r="U1408" s="5"/>
      <c r="V1408" s="5"/>
      <c r="W1408" s="5" t="s">
        <v>46</v>
      </c>
      <c r="X1408" s="5"/>
      <c r="Y1408" s="5"/>
      <c r="Z1408" s="5" t="str">
        <f>HYPERLINK("https://knigipp.ru/api/getInfo/image/3af2f8c8-b9b6-11ed-a230-00155d82e902")</f>
        <v>https://knigipp.ru/api/getInfo/image/3af2f8c8-b9b6-11ed-a230-00155d82e902</v>
      </c>
      <c r="AA1408" s="33">
        <v>16</v>
      </c>
      <c r="AB1408" s="5"/>
      <c r="AC1408" s="5" t="s">
        <v>96</v>
      </c>
      <c r="AD1408" s="5"/>
      <c r="AE1408" s="5" t="s">
        <v>49</v>
      </c>
      <c r="AF1408" s="5"/>
      <c r="AG1408" s="5"/>
      <c r="AH1408" s="5" t="s">
        <v>5692</v>
      </c>
    </row>
    <row r="1409" spans="2:34" ht="21" customHeight="1" outlineLevel="5" x14ac:dyDescent="0.2">
      <c r="B1409" s="42">
        <v>1087</v>
      </c>
      <c r="C1409" s="5" t="s">
        <v>5804</v>
      </c>
      <c r="D1409" s="5" t="s">
        <v>5805</v>
      </c>
      <c r="E1409" s="6" t="s">
        <v>5806</v>
      </c>
      <c r="F1409" s="10"/>
      <c r="G1409" s="11" t="s">
        <v>5738</v>
      </c>
      <c r="H1409" s="12">
        <v>50</v>
      </c>
      <c r="I1409" s="13" t="s">
        <v>41</v>
      </c>
      <c r="J1409" s="13"/>
      <c r="K1409" s="13"/>
      <c r="L1409" s="4">
        <v>20</v>
      </c>
      <c r="M1409" s="14">
        <f>29.7*(1-P3/100)</f>
        <v>29.7</v>
      </c>
      <c r="N1409" s="15"/>
      <c r="O1409" s="13">
        <f t="shared" si="54"/>
        <v>0</v>
      </c>
      <c r="P1409" s="32">
        <f t="shared" si="56"/>
        <v>0</v>
      </c>
      <c r="Q1409" s="23">
        <f>0.00006*N1409</f>
        <v>0</v>
      </c>
      <c r="R1409" s="24"/>
      <c r="S1409" s="25" t="s">
        <v>5807</v>
      </c>
      <c r="T1409" s="25" t="s">
        <v>43</v>
      </c>
      <c r="U1409" s="5"/>
      <c r="V1409" s="5"/>
      <c r="W1409" s="5" t="s">
        <v>46</v>
      </c>
      <c r="X1409" s="5"/>
      <c r="Y1409" s="5"/>
      <c r="Z1409" s="5" t="str">
        <f>HYPERLINK("https://knigipp.ru/api/getInfo/image/65c6a982-ad49-11e9-a22d-ac1f6b442184")</f>
        <v>https://knigipp.ru/api/getInfo/image/65c6a982-ad49-11e9-a22d-ac1f6b442184</v>
      </c>
      <c r="AA1409" s="33">
        <v>16</v>
      </c>
      <c r="AB1409" s="5"/>
      <c r="AC1409" s="5" t="s">
        <v>96</v>
      </c>
      <c r="AD1409" s="5"/>
      <c r="AE1409" s="5" t="s">
        <v>49</v>
      </c>
      <c r="AF1409" s="5"/>
      <c r="AG1409" s="5"/>
      <c r="AH1409" s="5" t="s">
        <v>5692</v>
      </c>
    </row>
    <row r="1410" spans="2:34" ht="21" customHeight="1" outlineLevel="5" x14ac:dyDescent="0.2">
      <c r="B1410" s="42">
        <v>1088</v>
      </c>
      <c r="C1410" s="5" t="s">
        <v>5808</v>
      </c>
      <c r="D1410" s="5" t="s">
        <v>5809</v>
      </c>
      <c r="E1410" s="6" t="s">
        <v>5810</v>
      </c>
      <c r="F1410" s="10"/>
      <c r="G1410" s="11" t="s">
        <v>5719</v>
      </c>
      <c r="H1410" s="12">
        <v>50</v>
      </c>
      <c r="I1410" s="13" t="s">
        <v>41</v>
      </c>
      <c r="J1410" s="13"/>
      <c r="K1410" s="13"/>
      <c r="L1410" s="4">
        <v>20</v>
      </c>
      <c r="M1410" s="14">
        <f>29.7*(1-P3/100)</f>
        <v>29.7</v>
      </c>
      <c r="N1410" s="15"/>
      <c r="O1410" s="13">
        <f t="shared" si="54"/>
        <v>0</v>
      </c>
      <c r="P1410" s="32">
        <f t="shared" si="56"/>
        <v>0</v>
      </c>
      <c r="Q1410" s="23">
        <f>0.00006*N1410</f>
        <v>0</v>
      </c>
      <c r="R1410" s="24"/>
      <c r="S1410" s="25" t="s">
        <v>5811</v>
      </c>
      <c r="T1410" s="25" t="s">
        <v>43</v>
      </c>
      <c r="U1410" s="5"/>
      <c r="V1410" s="5"/>
      <c r="W1410" s="5" t="s">
        <v>46</v>
      </c>
      <c r="X1410" s="5"/>
      <c r="Y1410" s="5"/>
      <c r="Z1410" s="5" t="str">
        <f>HYPERLINK("https://knigipp.ru/api/getInfo/image/95362e93-1a9e-11eb-a25d-ac1f6b442184")</f>
        <v>https://knigipp.ru/api/getInfo/image/95362e93-1a9e-11eb-a25d-ac1f6b442184</v>
      </c>
      <c r="AA1410" s="33">
        <v>16</v>
      </c>
      <c r="AB1410" s="5"/>
      <c r="AC1410" s="5" t="s">
        <v>96</v>
      </c>
      <c r="AD1410" s="5"/>
      <c r="AE1410" s="5" t="s">
        <v>49</v>
      </c>
      <c r="AF1410" s="5"/>
      <c r="AG1410" s="5"/>
      <c r="AH1410" s="5" t="s">
        <v>5692</v>
      </c>
    </row>
    <row r="1411" spans="2:34" ht="21" customHeight="1" outlineLevel="5" x14ac:dyDescent="0.2">
      <c r="B1411" s="42">
        <v>1089</v>
      </c>
      <c r="C1411" s="5" t="s">
        <v>5812</v>
      </c>
      <c r="D1411" s="5" t="s">
        <v>5813</v>
      </c>
      <c r="E1411" s="6" t="s">
        <v>5814</v>
      </c>
      <c r="F1411" s="10"/>
      <c r="G1411" s="11" t="s">
        <v>5729</v>
      </c>
      <c r="H1411" s="12">
        <v>50</v>
      </c>
      <c r="I1411" s="13" t="s">
        <v>41</v>
      </c>
      <c r="J1411" s="13"/>
      <c r="K1411" s="13"/>
      <c r="L1411" s="4">
        <v>20</v>
      </c>
      <c r="M1411" s="14">
        <f>29.7*(1-P3/100)</f>
        <v>29.7</v>
      </c>
      <c r="N1411" s="15"/>
      <c r="O1411" s="13">
        <f t="shared" si="54"/>
        <v>0</v>
      </c>
      <c r="P1411" s="32">
        <f t="shared" si="56"/>
        <v>0</v>
      </c>
      <c r="Q1411" s="23">
        <f>0.00009*N1411</f>
        <v>0</v>
      </c>
      <c r="R1411" s="24"/>
      <c r="S1411" s="25" t="s">
        <v>5815</v>
      </c>
      <c r="T1411" s="25" t="s">
        <v>43</v>
      </c>
      <c r="U1411" s="5"/>
      <c r="V1411" s="5"/>
      <c r="W1411" s="5" t="s">
        <v>46</v>
      </c>
      <c r="X1411" s="5"/>
      <c r="Y1411" s="5"/>
      <c r="Z1411" s="5" t="str">
        <f>HYPERLINK("https://knigipp.ru/api/getInfo/image/efd738f7-b9b4-11ed-a230-00155d82e902")</f>
        <v>https://knigipp.ru/api/getInfo/image/efd738f7-b9b4-11ed-a230-00155d82e902</v>
      </c>
      <c r="AA1411" s="33">
        <v>16</v>
      </c>
      <c r="AB1411" s="5"/>
      <c r="AC1411" s="5" t="s">
        <v>96</v>
      </c>
      <c r="AD1411" s="5"/>
      <c r="AE1411" s="5" t="s">
        <v>49</v>
      </c>
      <c r="AF1411" s="5"/>
      <c r="AG1411" s="5"/>
      <c r="AH1411" s="5" t="s">
        <v>5692</v>
      </c>
    </row>
    <row r="1412" spans="2:34" ht="21" customHeight="1" outlineLevel="5" x14ac:dyDescent="0.2">
      <c r="B1412" s="42">
        <v>1090</v>
      </c>
      <c r="C1412" s="5" t="s">
        <v>5816</v>
      </c>
      <c r="D1412" s="5" t="s">
        <v>5817</v>
      </c>
      <c r="E1412" s="6" t="s">
        <v>5818</v>
      </c>
      <c r="F1412" s="10"/>
      <c r="G1412" s="11" t="s">
        <v>5719</v>
      </c>
      <c r="H1412" s="12">
        <v>50</v>
      </c>
      <c r="I1412" s="13" t="s">
        <v>41</v>
      </c>
      <c r="J1412" s="13"/>
      <c r="K1412" s="13"/>
      <c r="L1412" s="4">
        <v>20</v>
      </c>
      <c r="M1412" s="14">
        <f>29.7*(1-P3/100)</f>
        <v>29.7</v>
      </c>
      <c r="N1412" s="15"/>
      <c r="O1412" s="13">
        <f t="shared" si="54"/>
        <v>0</v>
      </c>
      <c r="P1412" s="22">
        <f>0.033*N1412</f>
        <v>0</v>
      </c>
      <c r="Q1412" s="23">
        <f>0.00006*N1412</f>
        <v>0</v>
      </c>
      <c r="R1412" s="24"/>
      <c r="S1412" s="25" t="s">
        <v>5819</v>
      </c>
      <c r="T1412" s="25" t="s">
        <v>43</v>
      </c>
      <c r="U1412" s="5"/>
      <c r="V1412" s="5"/>
      <c r="W1412" s="5" t="s">
        <v>46</v>
      </c>
      <c r="X1412" s="5"/>
      <c r="Y1412" s="5"/>
      <c r="Z1412" s="5" t="str">
        <f>HYPERLINK("https://knigipp.ru/api/getInfo/image/bc013fab-1a9e-11eb-a25d-ac1f6b442184")</f>
        <v>https://knigipp.ru/api/getInfo/image/bc013fab-1a9e-11eb-a25d-ac1f6b442184</v>
      </c>
      <c r="AA1412" s="33">
        <v>16</v>
      </c>
      <c r="AB1412" s="5"/>
      <c r="AC1412" s="5" t="s">
        <v>96</v>
      </c>
      <c r="AD1412" s="5"/>
      <c r="AE1412" s="5" t="s">
        <v>49</v>
      </c>
      <c r="AF1412" s="5"/>
      <c r="AG1412" s="5"/>
      <c r="AH1412" s="5" t="s">
        <v>5692</v>
      </c>
    </row>
    <row r="1413" spans="2:34" ht="21" customHeight="1" outlineLevel="5" x14ac:dyDescent="0.2">
      <c r="B1413" s="42">
        <v>1091</v>
      </c>
      <c r="C1413" s="5" t="s">
        <v>5820</v>
      </c>
      <c r="D1413" s="5" t="s">
        <v>5821</v>
      </c>
      <c r="E1413" s="6" t="s">
        <v>5822</v>
      </c>
      <c r="F1413" s="10"/>
      <c r="G1413" s="11" t="s">
        <v>5719</v>
      </c>
      <c r="H1413" s="12">
        <v>50</v>
      </c>
      <c r="I1413" s="13" t="s">
        <v>41</v>
      </c>
      <c r="J1413" s="13"/>
      <c r="K1413" s="13"/>
      <c r="L1413" s="4">
        <v>20</v>
      </c>
      <c r="M1413" s="14">
        <f>29.7*(1-P3/100)</f>
        <v>29.7</v>
      </c>
      <c r="N1413" s="15"/>
      <c r="O1413" s="13">
        <f t="shared" si="54"/>
        <v>0</v>
      </c>
      <c r="P1413" s="32">
        <f>0.03*N1413</f>
        <v>0</v>
      </c>
      <c r="Q1413" s="23">
        <f>0.00006*N1413</f>
        <v>0</v>
      </c>
      <c r="R1413" s="24"/>
      <c r="S1413" s="25" t="s">
        <v>5823</v>
      </c>
      <c r="T1413" s="25" t="s">
        <v>43</v>
      </c>
      <c r="U1413" s="5"/>
      <c r="V1413" s="5"/>
      <c r="W1413" s="5" t="s">
        <v>46</v>
      </c>
      <c r="X1413" s="5" t="s">
        <v>5594</v>
      </c>
      <c r="Y1413" s="5"/>
      <c r="Z1413" s="5" t="str">
        <f>HYPERLINK("https://knigipp.ru/api/getInfo/image/f9d73a24-2b7b-11e8-ba06-5cf3fc4a2490")</f>
        <v>https://knigipp.ru/api/getInfo/image/f9d73a24-2b7b-11e8-ba06-5cf3fc4a2490</v>
      </c>
      <c r="AA1413" s="33">
        <v>16</v>
      </c>
      <c r="AB1413" s="5"/>
      <c r="AC1413" s="5" t="s">
        <v>96</v>
      </c>
      <c r="AD1413" s="5"/>
      <c r="AE1413" s="5" t="s">
        <v>49</v>
      </c>
      <c r="AF1413" s="5"/>
      <c r="AG1413" s="5" t="s">
        <v>5565</v>
      </c>
      <c r="AH1413" s="5" t="s">
        <v>5692</v>
      </c>
    </row>
    <row r="1414" spans="2:34" ht="21" customHeight="1" outlineLevel="5" x14ac:dyDescent="0.2">
      <c r="B1414" s="42">
        <v>1092</v>
      </c>
      <c r="C1414" s="5" t="s">
        <v>5824</v>
      </c>
      <c r="D1414" s="5" t="s">
        <v>5825</v>
      </c>
      <c r="E1414" s="6" t="s">
        <v>5826</v>
      </c>
      <c r="F1414" s="10"/>
      <c r="G1414" s="11" t="s">
        <v>5729</v>
      </c>
      <c r="H1414" s="12">
        <v>50</v>
      </c>
      <c r="I1414" s="13" t="s">
        <v>41</v>
      </c>
      <c r="J1414" s="13"/>
      <c r="K1414" s="13"/>
      <c r="L1414" s="4">
        <v>20</v>
      </c>
      <c r="M1414" s="14">
        <f>29.7*(1-P3/100)</f>
        <v>29.7</v>
      </c>
      <c r="N1414" s="15"/>
      <c r="O1414" s="13">
        <f t="shared" si="54"/>
        <v>0</v>
      </c>
      <c r="P1414" s="32">
        <f>0.03*N1414</f>
        <v>0</v>
      </c>
      <c r="Q1414" s="23">
        <f>0.00009*N1414</f>
        <v>0</v>
      </c>
      <c r="R1414" s="24"/>
      <c r="S1414" s="25" t="s">
        <v>5827</v>
      </c>
      <c r="T1414" s="25" t="s">
        <v>43</v>
      </c>
      <c r="U1414" s="5"/>
      <c r="V1414" s="5"/>
      <c r="W1414" s="5" t="s">
        <v>46</v>
      </c>
      <c r="X1414" s="5"/>
      <c r="Y1414" s="5"/>
      <c r="Z1414" s="5" t="str">
        <f>HYPERLINK("https://knigipp.ru/api/getInfo/image/c4c95fe4-b9b6-11ed-a230-00155d82e902")</f>
        <v>https://knigipp.ru/api/getInfo/image/c4c95fe4-b9b6-11ed-a230-00155d82e902</v>
      </c>
      <c r="AA1414" s="33">
        <v>16</v>
      </c>
      <c r="AB1414" s="5"/>
      <c r="AC1414" s="5" t="s">
        <v>96</v>
      </c>
      <c r="AD1414" s="5"/>
      <c r="AE1414" s="5" t="s">
        <v>49</v>
      </c>
      <c r="AF1414" s="5"/>
      <c r="AG1414" s="5"/>
      <c r="AH1414" s="5" t="s">
        <v>5692</v>
      </c>
    </row>
    <row r="1415" spans="2:34" ht="21" customHeight="1" outlineLevel="5" x14ac:dyDescent="0.2">
      <c r="B1415" s="42">
        <v>1093</v>
      </c>
      <c r="C1415" s="5" t="s">
        <v>5828</v>
      </c>
      <c r="D1415" s="5" t="s">
        <v>5829</v>
      </c>
      <c r="E1415" s="6" t="s">
        <v>5830</v>
      </c>
      <c r="F1415" s="10"/>
      <c r="G1415" s="11" t="s">
        <v>5729</v>
      </c>
      <c r="H1415" s="12">
        <v>50</v>
      </c>
      <c r="I1415" s="13" t="s">
        <v>41</v>
      </c>
      <c r="J1415" s="13"/>
      <c r="K1415" s="13"/>
      <c r="L1415" s="4">
        <v>20</v>
      </c>
      <c r="M1415" s="14">
        <f>29.7*(1-P3/100)</f>
        <v>29.7</v>
      </c>
      <c r="N1415" s="15"/>
      <c r="O1415" s="13">
        <f t="shared" si="54"/>
        <v>0</v>
      </c>
      <c r="P1415" s="32">
        <f>0.03*N1415</f>
        <v>0</v>
      </c>
      <c r="Q1415" s="23">
        <f>0.00009*N1415</f>
        <v>0</v>
      </c>
      <c r="R1415" s="24"/>
      <c r="S1415" s="25" t="s">
        <v>5831</v>
      </c>
      <c r="T1415" s="25" t="s">
        <v>43</v>
      </c>
      <c r="U1415" s="5"/>
      <c r="V1415" s="5"/>
      <c r="W1415" s="5" t="s">
        <v>46</v>
      </c>
      <c r="X1415" s="5"/>
      <c r="Y1415" s="5"/>
      <c r="Z1415" s="5" t="str">
        <f>HYPERLINK("https://knigipp.ru/api/getInfo/image/1be6a19c-b9a5-11ed-a230-00155d82e902")</f>
        <v>https://knigipp.ru/api/getInfo/image/1be6a19c-b9a5-11ed-a230-00155d82e902</v>
      </c>
      <c r="AA1415" s="33">
        <v>16</v>
      </c>
      <c r="AB1415" s="5"/>
      <c r="AC1415" s="5" t="s">
        <v>96</v>
      </c>
      <c r="AD1415" s="5"/>
      <c r="AE1415" s="5" t="s">
        <v>49</v>
      </c>
      <c r="AF1415" s="5"/>
      <c r="AG1415" s="5"/>
      <c r="AH1415" s="5" t="s">
        <v>5692</v>
      </c>
    </row>
    <row r="1416" spans="2:34" ht="21" customHeight="1" outlineLevel="5" x14ac:dyDescent="0.2">
      <c r="B1416" s="42">
        <v>1094</v>
      </c>
      <c r="C1416" s="5" t="s">
        <v>5832</v>
      </c>
      <c r="D1416" s="5" t="s">
        <v>5833</v>
      </c>
      <c r="E1416" s="6" t="s">
        <v>5834</v>
      </c>
      <c r="F1416" s="10"/>
      <c r="G1416" s="11" t="s">
        <v>5719</v>
      </c>
      <c r="H1416" s="12">
        <v>50</v>
      </c>
      <c r="I1416" s="13" t="s">
        <v>41</v>
      </c>
      <c r="J1416" s="13"/>
      <c r="K1416" s="13"/>
      <c r="L1416" s="4">
        <v>20</v>
      </c>
      <c r="M1416" s="14">
        <f>29.7*(1-P3/100)</f>
        <v>29.7</v>
      </c>
      <c r="N1416" s="15"/>
      <c r="O1416" s="13">
        <f t="shared" si="54"/>
        <v>0</v>
      </c>
      <c r="P1416" s="32">
        <f>0.03*N1416</f>
        <v>0</v>
      </c>
      <c r="Q1416" s="23">
        <f>0.00006*N1416</f>
        <v>0</v>
      </c>
      <c r="R1416" s="24"/>
      <c r="S1416" s="25" t="s">
        <v>5835</v>
      </c>
      <c r="T1416" s="25" t="s">
        <v>43</v>
      </c>
      <c r="U1416" s="5"/>
      <c r="V1416" s="5"/>
      <c r="W1416" s="5" t="s">
        <v>46</v>
      </c>
      <c r="X1416" s="5"/>
      <c r="Y1416" s="5"/>
      <c r="Z1416" s="5" t="str">
        <f>HYPERLINK("https://knigipp.ru/api/getInfo/image/ce50ffad-1a9e-11eb-a25d-ac1f6b442184")</f>
        <v>https://knigipp.ru/api/getInfo/image/ce50ffad-1a9e-11eb-a25d-ac1f6b442184</v>
      </c>
      <c r="AA1416" s="33">
        <v>16</v>
      </c>
      <c r="AB1416" s="5"/>
      <c r="AC1416" s="5" t="s">
        <v>96</v>
      </c>
      <c r="AD1416" s="5"/>
      <c r="AE1416" s="5" t="s">
        <v>49</v>
      </c>
      <c r="AF1416" s="5"/>
      <c r="AG1416" s="5"/>
      <c r="AH1416" s="5" t="s">
        <v>5692</v>
      </c>
    </row>
    <row r="1417" spans="2:34" ht="22.95" customHeight="1" outlineLevel="4" x14ac:dyDescent="0.2">
      <c r="B1417" s="75" t="s">
        <v>5836</v>
      </c>
      <c r="C1417" s="75"/>
      <c r="D1417" s="75"/>
    </row>
    <row r="1418" spans="2:34" ht="21" customHeight="1" outlineLevel="5" x14ac:dyDescent="0.2">
      <c r="B1418" s="42">
        <v>1095</v>
      </c>
      <c r="C1418" s="5" t="s">
        <v>5837</v>
      </c>
      <c r="D1418" s="5" t="s">
        <v>5838</v>
      </c>
      <c r="E1418" s="6" t="s">
        <v>5839</v>
      </c>
      <c r="F1418" s="10"/>
      <c r="G1418" s="11" t="s">
        <v>5840</v>
      </c>
      <c r="H1418" s="12">
        <v>50</v>
      </c>
      <c r="I1418" s="13" t="s">
        <v>261</v>
      </c>
      <c r="J1418" s="13"/>
      <c r="K1418" s="13"/>
      <c r="L1418" s="4">
        <v>20</v>
      </c>
      <c r="M1418" s="14">
        <f>34*(1-P3/100)</f>
        <v>34</v>
      </c>
      <c r="N1418" s="15"/>
      <c r="O1418" s="13">
        <f>M1418*N1418</f>
        <v>0</v>
      </c>
      <c r="P1418" s="22">
        <f>0.076*N1418</f>
        <v>0</v>
      </c>
      <c r="Q1418" s="23">
        <f>0.00011*N1418</f>
        <v>0</v>
      </c>
      <c r="R1418" s="24"/>
      <c r="S1418" s="25" t="s">
        <v>5841</v>
      </c>
      <c r="T1418" s="25" t="s">
        <v>43</v>
      </c>
      <c r="U1418" s="5"/>
      <c r="V1418" s="5"/>
      <c r="W1418" s="5" t="s">
        <v>5842</v>
      </c>
      <c r="X1418" s="5"/>
      <c r="Y1418" s="5"/>
      <c r="Z1418" s="5" t="str">
        <f>HYPERLINK("https://knigipp.ru/api/getInfo/image/c2363330-4431-11ea-a240-ac1f6b442184")</f>
        <v>https://knigipp.ru/api/getInfo/image/c2363330-4431-11ea-a240-ac1f6b442184</v>
      </c>
      <c r="AA1418" s="33">
        <v>16</v>
      </c>
      <c r="AB1418" s="5"/>
      <c r="AC1418" s="5" t="s">
        <v>96</v>
      </c>
      <c r="AD1418" s="5"/>
      <c r="AE1418" s="5" t="s">
        <v>49</v>
      </c>
      <c r="AF1418" s="5"/>
      <c r="AG1418" s="5"/>
      <c r="AH1418" s="5" t="s">
        <v>238</v>
      </c>
    </row>
    <row r="1419" spans="2:34" ht="22.95" customHeight="1" outlineLevel="4" x14ac:dyDescent="0.2">
      <c r="B1419" s="75" t="s">
        <v>5843</v>
      </c>
      <c r="C1419" s="75"/>
      <c r="D1419" s="75"/>
    </row>
    <row r="1420" spans="2:34" ht="21" customHeight="1" outlineLevel="5" x14ac:dyDescent="0.2">
      <c r="B1420" s="42">
        <v>1096</v>
      </c>
      <c r="C1420" s="5" t="s">
        <v>5844</v>
      </c>
      <c r="D1420" s="5" t="s">
        <v>5845</v>
      </c>
      <c r="E1420" s="6" t="s">
        <v>5846</v>
      </c>
      <c r="F1420" s="10"/>
      <c r="G1420" s="11" t="s">
        <v>5847</v>
      </c>
      <c r="H1420" s="12">
        <v>50</v>
      </c>
      <c r="I1420" s="13" t="s">
        <v>261</v>
      </c>
      <c r="J1420" s="13"/>
      <c r="K1420" s="13"/>
      <c r="L1420" s="4">
        <v>20</v>
      </c>
      <c r="M1420" s="14">
        <f>29.7*(1-P3/100)</f>
        <v>29.7</v>
      </c>
      <c r="N1420" s="15"/>
      <c r="O1420" s="13">
        <f t="shared" ref="O1420:O1425" si="57">M1420*N1420</f>
        <v>0</v>
      </c>
      <c r="P1420" s="22">
        <f t="shared" ref="P1420:P1425" si="58">0.036*N1420</f>
        <v>0</v>
      </c>
      <c r="Q1420" s="23">
        <f t="shared" ref="Q1420:Q1425" si="59">0.00009*N1420</f>
        <v>0</v>
      </c>
      <c r="R1420" s="24"/>
      <c r="S1420" s="25" t="s">
        <v>5848</v>
      </c>
      <c r="T1420" s="25" t="s">
        <v>43</v>
      </c>
      <c r="U1420" s="5"/>
      <c r="V1420" s="5" t="s">
        <v>5849</v>
      </c>
      <c r="W1420" s="5" t="s">
        <v>46</v>
      </c>
      <c r="X1420" s="5"/>
      <c r="Y1420" s="5"/>
      <c r="Z1420" s="5" t="str">
        <f>HYPERLINK("https://knigipp.ru/api/getInfo/image/2da86029-e8e4-11ed-a233-00155d82e902")</f>
        <v>https://knigipp.ru/api/getInfo/image/2da86029-e8e4-11ed-a233-00155d82e902</v>
      </c>
      <c r="AA1420" s="33">
        <v>12</v>
      </c>
      <c r="AB1420" s="5"/>
      <c r="AC1420" s="5" t="s">
        <v>96</v>
      </c>
      <c r="AD1420" s="5"/>
      <c r="AE1420" s="5" t="s">
        <v>49</v>
      </c>
      <c r="AF1420" s="5"/>
      <c r="AG1420" s="5"/>
      <c r="AH1420" s="5" t="s">
        <v>5850</v>
      </c>
    </row>
    <row r="1421" spans="2:34" ht="21" customHeight="1" outlineLevel="5" x14ac:dyDescent="0.2">
      <c r="B1421" s="42">
        <v>1097</v>
      </c>
      <c r="C1421" s="5" t="s">
        <v>5851</v>
      </c>
      <c r="D1421" s="5" t="s">
        <v>5852</v>
      </c>
      <c r="E1421" s="6" t="s">
        <v>5853</v>
      </c>
      <c r="F1421" s="10"/>
      <c r="G1421" s="11" t="s">
        <v>5847</v>
      </c>
      <c r="H1421" s="12">
        <v>50</v>
      </c>
      <c r="I1421" s="13" t="s">
        <v>41</v>
      </c>
      <c r="J1421" s="13"/>
      <c r="K1421" s="13"/>
      <c r="L1421" s="4">
        <v>20</v>
      </c>
      <c r="M1421" s="14">
        <f>29.7*(1-P3/100)</f>
        <v>29.7</v>
      </c>
      <c r="N1421" s="15"/>
      <c r="O1421" s="13">
        <f t="shared" si="57"/>
        <v>0</v>
      </c>
      <c r="P1421" s="22">
        <f t="shared" si="58"/>
        <v>0</v>
      </c>
      <c r="Q1421" s="23">
        <f t="shared" si="59"/>
        <v>0</v>
      </c>
      <c r="R1421" s="24"/>
      <c r="S1421" s="25" t="s">
        <v>5854</v>
      </c>
      <c r="T1421" s="25" t="s">
        <v>43</v>
      </c>
      <c r="U1421" s="5"/>
      <c r="V1421" s="5" t="s">
        <v>5855</v>
      </c>
      <c r="W1421" s="5" t="s">
        <v>46</v>
      </c>
      <c r="X1421" s="5"/>
      <c r="Y1421" s="5"/>
      <c r="Z1421" s="5" t="str">
        <f>HYPERLINK("https://knigipp.ru/api/getInfo/image/ede60771-e8e3-11ed-a233-00155d82e902")</f>
        <v>https://knigipp.ru/api/getInfo/image/ede60771-e8e3-11ed-a233-00155d82e902</v>
      </c>
      <c r="AA1421" s="33">
        <v>12</v>
      </c>
      <c r="AB1421" s="5"/>
      <c r="AC1421" s="5" t="s">
        <v>96</v>
      </c>
      <c r="AD1421" s="5"/>
      <c r="AE1421" s="5" t="s">
        <v>49</v>
      </c>
      <c r="AF1421" s="5"/>
      <c r="AG1421" s="5"/>
      <c r="AH1421" s="5" t="s">
        <v>5850</v>
      </c>
    </row>
    <row r="1422" spans="2:34" ht="21" customHeight="1" outlineLevel="5" x14ac:dyDescent="0.2">
      <c r="B1422" s="42">
        <v>1098</v>
      </c>
      <c r="C1422" s="5" t="s">
        <v>5856</v>
      </c>
      <c r="D1422" s="5" t="s">
        <v>5857</v>
      </c>
      <c r="E1422" s="6" t="s">
        <v>5858</v>
      </c>
      <c r="F1422" s="10"/>
      <c r="G1422" s="11" t="s">
        <v>5847</v>
      </c>
      <c r="H1422" s="12">
        <v>50</v>
      </c>
      <c r="I1422" s="13" t="s">
        <v>41</v>
      </c>
      <c r="J1422" s="13"/>
      <c r="K1422" s="13"/>
      <c r="L1422" s="4">
        <v>20</v>
      </c>
      <c r="M1422" s="14">
        <f>29.7*(1-P3/100)</f>
        <v>29.7</v>
      </c>
      <c r="N1422" s="15"/>
      <c r="O1422" s="13">
        <f t="shared" si="57"/>
        <v>0</v>
      </c>
      <c r="P1422" s="22">
        <f t="shared" si="58"/>
        <v>0</v>
      </c>
      <c r="Q1422" s="23">
        <f t="shared" si="59"/>
        <v>0</v>
      </c>
      <c r="R1422" s="24"/>
      <c r="S1422" s="25" t="s">
        <v>5859</v>
      </c>
      <c r="T1422" s="25" t="s">
        <v>43</v>
      </c>
      <c r="U1422" s="5"/>
      <c r="V1422" s="5" t="s">
        <v>5860</v>
      </c>
      <c r="W1422" s="5" t="s">
        <v>46</v>
      </c>
      <c r="X1422" s="5"/>
      <c r="Y1422" s="5"/>
      <c r="Z1422" s="5" t="str">
        <f>HYPERLINK("https://knigipp.ru/api/getInfo/image/cbb43888-e8e4-11ed-a233-00155d82e902")</f>
        <v>https://knigipp.ru/api/getInfo/image/cbb43888-e8e4-11ed-a233-00155d82e902</v>
      </c>
      <c r="AA1422" s="33">
        <v>12</v>
      </c>
      <c r="AB1422" s="5"/>
      <c r="AC1422" s="5" t="s">
        <v>96</v>
      </c>
      <c r="AD1422" s="5"/>
      <c r="AE1422" s="5" t="s">
        <v>49</v>
      </c>
      <c r="AF1422" s="5"/>
      <c r="AG1422" s="5"/>
      <c r="AH1422" s="5" t="s">
        <v>5850</v>
      </c>
    </row>
    <row r="1423" spans="2:34" ht="21" customHeight="1" outlineLevel="5" x14ac:dyDescent="0.2">
      <c r="B1423" s="42">
        <v>1099</v>
      </c>
      <c r="C1423" s="5" t="s">
        <v>5861</v>
      </c>
      <c r="D1423" s="5" t="s">
        <v>5862</v>
      </c>
      <c r="E1423" s="6" t="s">
        <v>5863</v>
      </c>
      <c r="F1423" s="10"/>
      <c r="G1423" s="11" t="s">
        <v>5847</v>
      </c>
      <c r="H1423" s="12">
        <v>50</v>
      </c>
      <c r="I1423" s="13" t="s">
        <v>41</v>
      </c>
      <c r="J1423" s="13"/>
      <c r="K1423" s="13"/>
      <c r="L1423" s="4">
        <v>20</v>
      </c>
      <c r="M1423" s="14">
        <f>29.7*(1-P3/100)</f>
        <v>29.7</v>
      </c>
      <c r="N1423" s="15"/>
      <c r="O1423" s="13">
        <f t="shared" si="57"/>
        <v>0</v>
      </c>
      <c r="P1423" s="22">
        <f t="shared" si="58"/>
        <v>0</v>
      </c>
      <c r="Q1423" s="23">
        <f t="shared" si="59"/>
        <v>0</v>
      </c>
      <c r="R1423" s="24"/>
      <c r="S1423" s="25" t="s">
        <v>5864</v>
      </c>
      <c r="T1423" s="25" t="s">
        <v>43</v>
      </c>
      <c r="U1423" s="5"/>
      <c r="V1423" s="5"/>
      <c r="W1423" s="5" t="s">
        <v>46</v>
      </c>
      <c r="X1423" s="5"/>
      <c r="Y1423" s="5"/>
      <c r="Z1423" s="5" t="str">
        <f>HYPERLINK("https://knigipp.ru/api/getInfo/image/845c1696-e8e3-11ed-a233-00155d82e902")</f>
        <v>https://knigipp.ru/api/getInfo/image/845c1696-e8e3-11ed-a233-00155d82e902</v>
      </c>
      <c r="AA1423" s="33">
        <v>12</v>
      </c>
      <c r="AB1423" s="5"/>
      <c r="AC1423" s="5" t="s">
        <v>96</v>
      </c>
      <c r="AD1423" s="5"/>
      <c r="AE1423" s="5" t="s">
        <v>49</v>
      </c>
      <c r="AF1423" s="5"/>
      <c r="AG1423" s="5"/>
      <c r="AH1423" s="5" t="s">
        <v>5850</v>
      </c>
    </row>
    <row r="1424" spans="2:34" ht="21" customHeight="1" outlineLevel="5" x14ac:dyDescent="0.2">
      <c r="B1424" s="42">
        <v>1100</v>
      </c>
      <c r="C1424" s="5" t="s">
        <v>5865</v>
      </c>
      <c r="D1424" s="5" t="s">
        <v>5866</v>
      </c>
      <c r="E1424" s="6" t="s">
        <v>5867</v>
      </c>
      <c r="F1424" s="10"/>
      <c r="G1424" s="11" t="s">
        <v>5847</v>
      </c>
      <c r="H1424" s="12">
        <v>50</v>
      </c>
      <c r="I1424" s="13" t="s">
        <v>41</v>
      </c>
      <c r="J1424" s="13"/>
      <c r="K1424" s="13"/>
      <c r="L1424" s="4">
        <v>20</v>
      </c>
      <c r="M1424" s="14">
        <f>29.7*(1-P3/100)</f>
        <v>29.7</v>
      </c>
      <c r="N1424" s="15"/>
      <c r="O1424" s="13">
        <f t="shared" si="57"/>
        <v>0</v>
      </c>
      <c r="P1424" s="22">
        <f t="shared" si="58"/>
        <v>0</v>
      </c>
      <c r="Q1424" s="23">
        <f t="shared" si="59"/>
        <v>0</v>
      </c>
      <c r="R1424" s="24"/>
      <c r="S1424" s="25" t="s">
        <v>5868</v>
      </c>
      <c r="T1424" s="25" t="s">
        <v>43</v>
      </c>
      <c r="U1424" s="5"/>
      <c r="V1424" s="5" t="s">
        <v>5869</v>
      </c>
      <c r="W1424" s="5" t="s">
        <v>46</v>
      </c>
      <c r="X1424" s="5"/>
      <c r="Y1424" s="5"/>
      <c r="Z1424" s="5" t="str">
        <f>HYPERLINK("https://knigipp.ru/api/getInfo/image/077c673e-e8e5-11ed-a233-00155d82e902")</f>
        <v>https://knigipp.ru/api/getInfo/image/077c673e-e8e5-11ed-a233-00155d82e902</v>
      </c>
      <c r="AA1424" s="33">
        <v>12</v>
      </c>
      <c r="AB1424" s="5"/>
      <c r="AC1424" s="5" t="s">
        <v>96</v>
      </c>
      <c r="AD1424" s="5"/>
      <c r="AE1424" s="5" t="s">
        <v>49</v>
      </c>
      <c r="AF1424" s="5"/>
      <c r="AG1424" s="5"/>
      <c r="AH1424" s="5" t="s">
        <v>5850</v>
      </c>
    </row>
    <row r="1425" spans="2:34" ht="21" customHeight="1" outlineLevel="5" x14ac:dyDescent="0.2">
      <c r="B1425" s="42">
        <v>1101</v>
      </c>
      <c r="C1425" s="5" t="s">
        <v>5870</v>
      </c>
      <c r="D1425" s="5" t="s">
        <v>5871</v>
      </c>
      <c r="E1425" s="6" t="s">
        <v>5872</v>
      </c>
      <c r="F1425" s="10"/>
      <c r="G1425" s="11" t="s">
        <v>5847</v>
      </c>
      <c r="H1425" s="12">
        <v>50</v>
      </c>
      <c r="I1425" s="13" t="s">
        <v>261</v>
      </c>
      <c r="J1425" s="13"/>
      <c r="K1425" s="13"/>
      <c r="L1425" s="4">
        <v>20</v>
      </c>
      <c r="M1425" s="14">
        <f>29.7*(1-P3/100)</f>
        <v>29.7</v>
      </c>
      <c r="N1425" s="15"/>
      <c r="O1425" s="13">
        <f t="shared" si="57"/>
        <v>0</v>
      </c>
      <c r="P1425" s="22">
        <f t="shared" si="58"/>
        <v>0</v>
      </c>
      <c r="Q1425" s="23">
        <f t="shared" si="59"/>
        <v>0</v>
      </c>
      <c r="R1425" s="24"/>
      <c r="S1425" s="25" t="s">
        <v>5873</v>
      </c>
      <c r="T1425" s="25" t="s">
        <v>43</v>
      </c>
      <c r="U1425" s="5"/>
      <c r="V1425" s="5" t="s">
        <v>5874</v>
      </c>
      <c r="W1425" s="5" t="s">
        <v>46</v>
      </c>
      <c r="X1425" s="5"/>
      <c r="Y1425" s="5"/>
      <c r="Z1425" s="5" t="str">
        <f>HYPERLINK("https://knigipp.ru/api/getInfo/image/aedb44a3-e8e3-11ed-a233-00155d82e902")</f>
        <v>https://knigipp.ru/api/getInfo/image/aedb44a3-e8e3-11ed-a233-00155d82e902</v>
      </c>
      <c r="AA1425" s="33">
        <v>12</v>
      </c>
      <c r="AB1425" s="5"/>
      <c r="AC1425" s="5" t="s">
        <v>96</v>
      </c>
      <c r="AD1425" s="5"/>
      <c r="AE1425" s="5" t="s">
        <v>49</v>
      </c>
      <c r="AF1425" s="5"/>
      <c r="AG1425" s="5"/>
      <c r="AH1425" s="5" t="s">
        <v>5850</v>
      </c>
    </row>
    <row r="1426" spans="2:34" ht="22.95" customHeight="1" outlineLevel="4" x14ac:dyDescent="0.2">
      <c r="B1426" s="75" t="s">
        <v>5875</v>
      </c>
      <c r="C1426" s="75"/>
      <c r="D1426" s="75"/>
    </row>
    <row r="1427" spans="2:34" ht="21" customHeight="1" outlineLevel="5" x14ac:dyDescent="0.2">
      <c r="B1427" s="42">
        <v>1102</v>
      </c>
      <c r="C1427" s="5" t="s">
        <v>5876</v>
      </c>
      <c r="D1427" s="5" t="s">
        <v>5877</v>
      </c>
      <c r="E1427" s="6" t="s">
        <v>5878</v>
      </c>
      <c r="F1427" s="10"/>
      <c r="G1427" s="11" t="s">
        <v>5879</v>
      </c>
      <c r="H1427" s="12">
        <v>50</v>
      </c>
      <c r="I1427" s="13" t="s">
        <v>41</v>
      </c>
      <c r="J1427" s="13"/>
      <c r="K1427" s="13"/>
      <c r="L1427" s="4">
        <v>20</v>
      </c>
      <c r="M1427" s="14">
        <f>31.7*(1-P3/100)</f>
        <v>31.7</v>
      </c>
      <c r="N1427" s="15"/>
      <c r="O1427" s="13">
        <f>M1427*N1427</f>
        <v>0</v>
      </c>
      <c r="P1427" s="22">
        <f>0.035*N1427</f>
        <v>0</v>
      </c>
      <c r="Q1427" s="23">
        <f>0.00026*N1427</f>
        <v>0</v>
      </c>
      <c r="R1427" s="24"/>
      <c r="S1427" s="25" t="s">
        <v>5880</v>
      </c>
      <c r="T1427" s="25" t="s">
        <v>43</v>
      </c>
      <c r="U1427" s="5"/>
      <c r="V1427" s="5"/>
      <c r="W1427" s="5" t="s">
        <v>46</v>
      </c>
      <c r="X1427" s="5"/>
      <c r="Y1427" s="5"/>
      <c r="Z1427" s="5" t="str">
        <f>HYPERLINK("https://knigipp.ru/api/getInfo/image/98ee1215-7315-11ee-a248-00155d82e902")</f>
        <v>https://knigipp.ru/api/getInfo/image/98ee1215-7315-11ee-a248-00155d82e902</v>
      </c>
      <c r="AA1427" s="33">
        <v>8</v>
      </c>
      <c r="AB1427" s="5"/>
      <c r="AC1427" s="5" t="s">
        <v>96</v>
      </c>
      <c r="AD1427" s="5"/>
      <c r="AE1427" s="5" t="s">
        <v>49</v>
      </c>
      <c r="AF1427" s="5"/>
      <c r="AG1427" s="5"/>
      <c r="AH1427" s="5" t="s">
        <v>5881</v>
      </c>
    </row>
    <row r="1428" spans="2:34" ht="21" customHeight="1" outlineLevel="5" x14ac:dyDescent="0.2">
      <c r="B1428" s="42">
        <v>1103</v>
      </c>
      <c r="C1428" s="5" t="s">
        <v>5882</v>
      </c>
      <c r="D1428" s="5" t="s">
        <v>5883</v>
      </c>
      <c r="E1428" s="6" t="s">
        <v>5884</v>
      </c>
      <c r="F1428" s="10"/>
      <c r="G1428" s="11" t="s">
        <v>5879</v>
      </c>
      <c r="H1428" s="12">
        <v>50</v>
      </c>
      <c r="I1428" s="13" t="s">
        <v>41</v>
      </c>
      <c r="J1428" s="13"/>
      <c r="K1428" s="13"/>
      <c r="L1428" s="4">
        <v>20</v>
      </c>
      <c r="M1428" s="14">
        <f>31.7*(1-P3/100)</f>
        <v>31.7</v>
      </c>
      <c r="N1428" s="15"/>
      <c r="O1428" s="13">
        <f>M1428*N1428</f>
        <v>0</v>
      </c>
      <c r="P1428" s="22">
        <f>0.038*N1428</f>
        <v>0</v>
      </c>
      <c r="Q1428" s="23">
        <f>0.00013*N1428</f>
        <v>0</v>
      </c>
      <c r="R1428" s="24"/>
      <c r="S1428" s="25" t="s">
        <v>5885</v>
      </c>
      <c r="T1428" s="25" t="s">
        <v>43</v>
      </c>
      <c r="U1428" s="5"/>
      <c r="V1428" s="5"/>
      <c r="W1428" s="5" t="s">
        <v>46</v>
      </c>
      <c r="X1428" s="5"/>
      <c r="Y1428" s="5"/>
      <c r="Z1428" s="5" t="str">
        <f>HYPERLINK("https://knigipp.ru/api/getInfo/image/bf64d1c6-7315-11ee-a248-00155d82e902")</f>
        <v>https://knigipp.ru/api/getInfo/image/bf64d1c6-7315-11ee-a248-00155d82e902</v>
      </c>
      <c r="AA1428" s="33">
        <v>8</v>
      </c>
      <c r="AB1428" s="5"/>
      <c r="AC1428" s="5" t="s">
        <v>96</v>
      </c>
      <c r="AD1428" s="5"/>
      <c r="AE1428" s="5" t="s">
        <v>49</v>
      </c>
      <c r="AF1428" s="5"/>
      <c r="AG1428" s="5"/>
      <c r="AH1428" s="5" t="s">
        <v>5881</v>
      </c>
    </row>
    <row r="1429" spans="2:34" ht="21" customHeight="1" outlineLevel="5" x14ac:dyDescent="0.2">
      <c r="B1429" s="42">
        <v>1104</v>
      </c>
      <c r="C1429" s="5" t="s">
        <v>5886</v>
      </c>
      <c r="D1429" s="5" t="s">
        <v>5887</v>
      </c>
      <c r="E1429" s="6" t="s">
        <v>5888</v>
      </c>
      <c r="F1429" s="10"/>
      <c r="G1429" s="11" t="s">
        <v>5879</v>
      </c>
      <c r="H1429" s="12">
        <v>50</v>
      </c>
      <c r="I1429" s="13" t="s">
        <v>41</v>
      </c>
      <c r="J1429" s="13"/>
      <c r="K1429" s="13"/>
      <c r="L1429" s="4">
        <v>20</v>
      </c>
      <c r="M1429" s="14">
        <f>31.7*(1-P3/100)</f>
        <v>31.7</v>
      </c>
      <c r="N1429" s="15"/>
      <c r="O1429" s="13">
        <f>M1429*N1429</f>
        <v>0</v>
      </c>
      <c r="P1429" s="22">
        <f>0.038*N1429</f>
        <v>0</v>
      </c>
      <c r="Q1429" s="23">
        <f>0.00013*N1429</f>
        <v>0</v>
      </c>
      <c r="R1429" s="24"/>
      <c r="S1429" s="25" t="s">
        <v>5889</v>
      </c>
      <c r="T1429" s="25" t="s">
        <v>43</v>
      </c>
      <c r="U1429" s="5"/>
      <c r="V1429" s="5"/>
      <c r="W1429" s="5" t="s">
        <v>46</v>
      </c>
      <c r="X1429" s="5"/>
      <c r="Y1429" s="5"/>
      <c r="Z1429" s="5" t="str">
        <f>HYPERLINK("https://knigipp.ru/api/getInfo/image/81226f5d-7315-11ee-a248-00155d82e902")</f>
        <v>https://knigipp.ru/api/getInfo/image/81226f5d-7315-11ee-a248-00155d82e902</v>
      </c>
      <c r="AA1429" s="33">
        <v>8</v>
      </c>
      <c r="AB1429" s="5"/>
      <c r="AC1429" s="5" t="s">
        <v>96</v>
      </c>
      <c r="AD1429" s="5"/>
      <c r="AE1429" s="5" t="s">
        <v>49</v>
      </c>
      <c r="AF1429" s="5"/>
      <c r="AG1429" s="5"/>
      <c r="AH1429" s="5" t="s">
        <v>5881</v>
      </c>
    </row>
    <row r="1430" spans="2:34" ht="21" customHeight="1" outlineLevel="5" x14ac:dyDescent="0.2">
      <c r="B1430" s="42">
        <v>1105</v>
      </c>
      <c r="C1430" s="5" t="s">
        <v>5890</v>
      </c>
      <c r="D1430" s="5" t="s">
        <v>5891</v>
      </c>
      <c r="E1430" s="6" t="s">
        <v>5892</v>
      </c>
      <c r="F1430" s="10"/>
      <c r="G1430" s="11" t="s">
        <v>5879</v>
      </c>
      <c r="H1430" s="12">
        <v>50</v>
      </c>
      <c r="I1430" s="13" t="s">
        <v>41</v>
      </c>
      <c r="J1430" s="13"/>
      <c r="K1430" s="13"/>
      <c r="L1430" s="4">
        <v>20</v>
      </c>
      <c r="M1430" s="14">
        <f>31.7*(1-P3/100)</f>
        <v>31.7</v>
      </c>
      <c r="N1430" s="15"/>
      <c r="O1430" s="13">
        <f>M1430*N1430</f>
        <v>0</v>
      </c>
      <c r="P1430" s="22">
        <f>0.038*N1430</f>
        <v>0</v>
      </c>
      <c r="Q1430" s="23">
        <f>0.00013*N1430</f>
        <v>0</v>
      </c>
      <c r="R1430" s="24"/>
      <c r="S1430" s="25" t="s">
        <v>5893</v>
      </c>
      <c r="T1430" s="25" t="s">
        <v>43</v>
      </c>
      <c r="U1430" s="5"/>
      <c r="V1430" s="5"/>
      <c r="W1430" s="5" t="s">
        <v>46</v>
      </c>
      <c r="X1430" s="5"/>
      <c r="Y1430" s="5"/>
      <c r="Z1430" s="5" t="str">
        <f>HYPERLINK("https://knigipp.ru/api/getInfo/image/de7b485f-7315-11ee-a248-00155d82e902")</f>
        <v>https://knigipp.ru/api/getInfo/image/de7b485f-7315-11ee-a248-00155d82e902</v>
      </c>
      <c r="AA1430" s="33">
        <v>8</v>
      </c>
      <c r="AB1430" s="5"/>
      <c r="AC1430" s="5" t="s">
        <v>96</v>
      </c>
      <c r="AD1430" s="5"/>
      <c r="AE1430" s="5" t="s">
        <v>49</v>
      </c>
      <c r="AF1430" s="5"/>
      <c r="AG1430" s="5"/>
      <c r="AH1430" s="5" t="s">
        <v>5881</v>
      </c>
    </row>
    <row r="1431" spans="2:34" ht="22.95" customHeight="1" outlineLevel="3" x14ac:dyDescent="0.2">
      <c r="B1431" s="74" t="s">
        <v>5894</v>
      </c>
      <c r="C1431" s="74"/>
      <c r="D1431" s="74"/>
    </row>
    <row r="1432" spans="2:34" ht="22.95" customHeight="1" outlineLevel="4" x14ac:dyDescent="0.2">
      <c r="B1432" s="75" t="s">
        <v>5895</v>
      </c>
      <c r="C1432" s="75"/>
      <c r="D1432" s="75"/>
    </row>
    <row r="1433" spans="2:34" ht="21" customHeight="1" outlineLevel="5" x14ac:dyDescent="0.2">
      <c r="B1433" s="42">
        <v>1106</v>
      </c>
      <c r="C1433" s="5" t="s">
        <v>5896</v>
      </c>
      <c r="D1433" s="5" t="s">
        <v>5897</v>
      </c>
      <c r="E1433" s="6" t="s">
        <v>5898</v>
      </c>
      <c r="F1433" s="10"/>
      <c r="G1433" s="11" t="s">
        <v>5899</v>
      </c>
      <c r="H1433" s="12">
        <v>10</v>
      </c>
      <c r="I1433" s="13" t="s">
        <v>261</v>
      </c>
      <c r="J1433" s="13"/>
      <c r="K1433" s="13"/>
      <c r="L1433" s="4">
        <v>2</v>
      </c>
      <c r="M1433" s="14">
        <f>484.35*(1-P3/100)</f>
        <v>484.35</v>
      </c>
      <c r="N1433" s="15"/>
      <c r="O1433" s="13">
        <f>M1433*N1433</f>
        <v>0</v>
      </c>
      <c r="P1433" s="13">
        <v>0</v>
      </c>
      <c r="Q1433" s="13">
        <v>0</v>
      </c>
      <c r="R1433" s="24"/>
      <c r="S1433" s="25" t="s">
        <v>5900</v>
      </c>
      <c r="T1433" s="25" t="s">
        <v>43</v>
      </c>
      <c r="U1433" s="5"/>
      <c r="V1433" s="5"/>
      <c r="W1433" s="5" t="s">
        <v>46</v>
      </c>
      <c r="X1433" s="5"/>
      <c r="Y1433" s="5"/>
      <c r="Z1433" s="5" t="str">
        <f>HYPERLINK("https://knigipp.ru/api/getInfo/image/03f47dc3-9960-11ec-a211-ac1f6b442185")</f>
        <v>https://knigipp.ru/api/getInfo/image/03f47dc3-9960-11ec-a211-ac1f6b442185</v>
      </c>
      <c r="AA1433" s="33">
        <v>96</v>
      </c>
      <c r="AB1433" s="5"/>
      <c r="AC1433" s="5" t="s">
        <v>48</v>
      </c>
      <c r="AD1433" s="5"/>
      <c r="AE1433" s="5" t="s">
        <v>49</v>
      </c>
      <c r="AF1433" s="5"/>
      <c r="AG1433" s="5"/>
      <c r="AH1433" s="5" t="s">
        <v>5901</v>
      </c>
    </row>
    <row r="1434" spans="2:34" ht="22.95" customHeight="1" outlineLevel="4" x14ac:dyDescent="0.2">
      <c r="B1434" s="75" t="s">
        <v>5902</v>
      </c>
      <c r="C1434" s="75"/>
      <c r="D1434" s="75"/>
    </row>
    <row r="1435" spans="2:34" ht="21" customHeight="1" outlineLevel="5" x14ac:dyDescent="0.2">
      <c r="B1435" s="42">
        <v>1107</v>
      </c>
      <c r="C1435" s="5" t="s">
        <v>5903</v>
      </c>
      <c r="D1435" s="5" t="s">
        <v>5904</v>
      </c>
      <c r="E1435" s="6" t="s">
        <v>5905</v>
      </c>
      <c r="F1435" s="10"/>
      <c r="G1435" s="11" t="s">
        <v>5906</v>
      </c>
      <c r="H1435" s="12">
        <v>30</v>
      </c>
      <c r="I1435" s="13" t="s">
        <v>261</v>
      </c>
      <c r="J1435" s="13"/>
      <c r="K1435" s="13"/>
      <c r="L1435" s="4">
        <v>3</v>
      </c>
      <c r="M1435" s="14">
        <f>199*(1-P3/100)</f>
        <v>199</v>
      </c>
      <c r="N1435" s="15"/>
      <c r="O1435" s="13">
        <f>M1435*N1435</f>
        <v>0</v>
      </c>
      <c r="P1435" s="22">
        <f>0.333*N1435</f>
        <v>0</v>
      </c>
      <c r="Q1435" s="23">
        <f>0.00064*N1435</f>
        <v>0</v>
      </c>
      <c r="R1435" s="24"/>
      <c r="S1435" s="25" t="s">
        <v>5907</v>
      </c>
      <c r="T1435" s="25" t="s">
        <v>43</v>
      </c>
      <c r="U1435" s="5"/>
      <c r="V1435" s="5"/>
      <c r="W1435" s="5" t="s">
        <v>46</v>
      </c>
      <c r="X1435" s="5"/>
      <c r="Y1435" s="5"/>
      <c r="Z1435" s="5" t="str">
        <f>HYPERLINK("https://knigipp.ru/api/getInfo/image/ef10d4cc-bad3-11ea-a249-ac1f6b442184")</f>
        <v>https://knigipp.ru/api/getInfo/image/ef10d4cc-bad3-11ea-a249-ac1f6b442184</v>
      </c>
      <c r="AA1435" s="33">
        <v>64</v>
      </c>
      <c r="AB1435" s="5"/>
      <c r="AC1435" s="5" t="s">
        <v>48</v>
      </c>
      <c r="AD1435" s="5"/>
      <c r="AE1435" s="5" t="s">
        <v>49</v>
      </c>
      <c r="AF1435" s="5"/>
      <c r="AG1435" s="5"/>
      <c r="AH1435" s="5" t="s">
        <v>5908</v>
      </c>
    </row>
    <row r="1436" spans="2:34" ht="22.95" customHeight="1" outlineLevel="4" x14ac:dyDescent="0.2">
      <c r="B1436" s="75" t="s">
        <v>5909</v>
      </c>
      <c r="C1436" s="75"/>
      <c r="D1436" s="75"/>
    </row>
    <row r="1437" spans="2:34" ht="21" customHeight="1" outlineLevel="5" x14ac:dyDescent="0.2">
      <c r="B1437" s="42">
        <v>1108</v>
      </c>
      <c r="C1437" s="5" t="s">
        <v>5910</v>
      </c>
      <c r="D1437" s="5" t="s">
        <v>5911</v>
      </c>
      <c r="E1437" s="6" t="s">
        <v>5912</v>
      </c>
      <c r="F1437" s="10"/>
      <c r="G1437" s="11" t="s">
        <v>5913</v>
      </c>
      <c r="H1437" s="12">
        <v>20</v>
      </c>
      <c r="I1437" s="13" t="s">
        <v>261</v>
      </c>
      <c r="J1437" s="13"/>
      <c r="K1437" s="13"/>
      <c r="L1437" s="4">
        <v>4</v>
      </c>
      <c r="M1437" s="14">
        <f>159*(1-P3/100)</f>
        <v>159</v>
      </c>
      <c r="N1437" s="15"/>
      <c r="O1437" s="13">
        <f>M1437*N1437</f>
        <v>0</v>
      </c>
      <c r="P1437" s="22">
        <f>0.201*N1437</f>
        <v>0</v>
      </c>
      <c r="Q1437" s="23">
        <f>0.00029*N1437</f>
        <v>0</v>
      </c>
      <c r="R1437" s="24"/>
      <c r="S1437" s="25" t="s">
        <v>5914</v>
      </c>
      <c r="T1437" s="25" t="s">
        <v>43</v>
      </c>
      <c r="U1437" s="5"/>
      <c r="V1437" s="5"/>
      <c r="W1437" s="5" t="s">
        <v>46</v>
      </c>
      <c r="X1437" s="5"/>
      <c r="Y1437" s="5"/>
      <c r="Z1437" s="5" t="str">
        <f>HYPERLINK("https://knigipp.ru/api/getInfo/image/3a92bbb4-534d-11ec-a20f-ac1f6b442185")</f>
        <v>https://knigipp.ru/api/getInfo/image/3a92bbb4-534d-11ec-a20f-ac1f6b442185</v>
      </c>
      <c r="AA1437" s="33">
        <v>64</v>
      </c>
      <c r="AB1437" s="5"/>
      <c r="AC1437" s="5" t="s">
        <v>48</v>
      </c>
      <c r="AD1437" s="5"/>
      <c r="AE1437" s="5" t="s">
        <v>49</v>
      </c>
      <c r="AF1437" s="5"/>
      <c r="AG1437" s="5"/>
      <c r="AH1437" s="5" t="s">
        <v>5915</v>
      </c>
    </row>
    <row r="1438" spans="2:34" ht="22.95" customHeight="1" outlineLevel="4" x14ac:dyDescent="0.2">
      <c r="B1438" s="75" t="s">
        <v>5916</v>
      </c>
      <c r="C1438" s="75"/>
      <c r="D1438" s="75"/>
    </row>
    <row r="1439" spans="2:34" ht="21" customHeight="1" outlineLevel="5" x14ac:dyDescent="0.2">
      <c r="B1439" s="42">
        <v>1109</v>
      </c>
      <c r="C1439" s="5" t="s">
        <v>5917</v>
      </c>
      <c r="D1439" s="5" t="s">
        <v>5918</v>
      </c>
      <c r="E1439" s="6" t="s">
        <v>5919</v>
      </c>
      <c r="F1439" s="10"/>
      <c r="G1439" s="11" t="s">
        <v>5920</v>
      </c>
      <c r="H1439" s="12">
        <v>20</v>
      </c>
      <c r="I1439" s="13" t="s">
        <v>261</v>
      </c>
      <c r="J1439" s="13"/>
      <c r="K1439" s="13"/>
      <c r="L1439" s="4">
        <v>4</v>
      </c>
      <c r="M1439" s="14">
        <f>178.6*(1-P3/100)</f>
        <v>178.6</v>
      </c>
      <c r="N1439" s="15"/>
      <c r="O1439" s="13">
        <f>M1439*N1439</f>
        <v>0</v>
      </c>
      <c r="P1439" s="13">
        <v>0</v>
      </c>
      <c r="Q1439" s="13">
        <v>0</v>
      </c>
      <c r="R1439" s="24"/>
      <c r="S1439" s="25" t="s">
        <v>5921</v>
      </c>
      <c r="T1439" s="25" t="s">
        <v>43</v>
      </c>
      <c r="U1439" s="5"/>
      <c r="V1439" s="5"/>
      <c r="W1439" s="5" t="s">
        <v>46</v>
      </c>
      <c r="X1439" s="5"/>
      <c r="Y1439" s="5"/>
      <c r="Z1439" s="5" t="str">
        <f>HYPERLINK("https://knigipp.ru/api/getInfo/image/931c0765-3b13-11ec-a20f-ac1f6b442185")</f>
        <v>https://knigipp.ru/api/getInfo/image/931c0765-3b13-11ec-a20f-ac1f6b442185</v>
      </c>
      <c r="AA1439" s="33">
        <v>96</v>
      </c>
      <c r="AB1439" s="5"/>
      <c r="AC1439" s="5" t="s">
        <v>48</v>
      </c>
      <c r="AD1439" s="5"/>
      <c r="AE1439" s="5" t="s">
        <v>49</v>
      </c>
      <c r="AF1439" s="5"/>
      <c r="AG1439" s="5"/>
      <c r="AH1439" s="5" t="s">
        <v>5922</v>
      </c>
    </row>
    <row r="1440" spans="2:34" ht="22.95" customHeight="1" outlineLevel="4" x14ac:dyDescent="0.2">
      <c r="B1440" s="75" t="s">
        <v>5923</v>
      </c>
      <c r="C1440" s="75"/>
      <c r="D1440" s="75"/>
    </row>
    <row r="1441" spans="2:34" ht="21" customHeight="1" outlineLevel="5" x14ac:dyDescent="0.2">
      <c r="B1441" s="42">
        <v>1110</v>
      </c>
      <c r="C1441" s="5" t="s">
        <v>5924</v>
      </c>
      <c r="D1441" s="5" t="s">
        <v>5925</v>
      </c>
      <c r="E1441" s="6" t="s">
        <v>5926</v>
      </c>
      <c r="F1441" s="10"/>
      <c r="G1441" s="11" t="s">
        <v>5927</v>
      </c>
      <c r="H1441" s="12">
        <v>25</v>
      </c>
      <c r="I1441" s="13" t="s">
        <v>41</v>
      </c>
      <c r="J1441" s="13"/>
      <c r="K1441" s="13"/>
      <c r="L1441" s="4">
        <v>4</v>
      </c>
      <c r="M1441" s="14">
        <f>148*(1-P3/100)</f>
        <v>148</v>
      </c>
      <c r="N1441" s="15"/>
      <c r="O1441" s="13">
        <f t="shared" ref="O1441:O1450" si="60">M1441*N1441</f>
        <v>0</v>
      </c>
      <c r="P1441" s="22">
        <f>0.208*N1441</f>
        <v>0</v>
      </c>
      <c r="Q1441" s="23">
        <f>0.00036*N1441</f>
        <v>0</v>
      </c>
      <c r="R1441" s="24"/>
      <c r="S1441" s="25" t="s">
        <v>5928</v>
      </c>
      <c r="T1441" s="25" t="s">
        <v>43</v>
      </c>
      <c r="U1441" s="5"/>
      <c r="V1441" s="5"/>
      <c r="W1441" s="5" t="s">
        <v>46</v>
      </c>
      <c r="X1441" s="5"/>
      <c r="Y1441" s="5"/>
      <c r="Z1441" s="5" t="str">
        <f>HYPERLINK("https://knigipp.ru/api/getInfo/image/455a4dad-49dd-11eb-a25e-ac1f6b442184")</f>
        <v>https://knigipp.ru/api/getInfo/image/455a4dad-49dd-11eb-a25e-ac1f6b442184</v>
      </c>
      <c r="AA1441" s="33">
        <v>64</v>
      </c>
      <c r="AB1441" s="5"/>
      <c r="AC1441" s="5" t="s">
        <v>96</v>
      </c>
      <c r="AD1441" s="5"/>
      <c r="AE1441" s="5" t="s">
        <v>49</v>
      </c>
      <c r="AF1441" s="5"/>
      <c r="AG1441" s="5"/>
      <c r="AH1441" s="5" t="s">
        <v>5929</v>
      </c>
    </row>
    <row r="1442" spans="2:34" ht="21" customHeight="1" outlineLevel="5" x14ac:dyDescent="0.2">
      <c r="B1442" s="42">
        <v>1111</v>
      </c>
      <c r="C1442" s="5" t="s">
        <v>5930</v>
      </c>
      <c r="D1442" s="5" t="s">
        <v>5931</v>
      </c>
      <c r="E1442" s="6" t="s">
        <v>5932</v>
      </c>
      <c r="F1442" s="10"/>
      <c r="G1442" s="11" t="s">
        <v>5933</v>
      </c>
      <c r="H1442" s="12">
        <v>25</v>
      </c>
      <c r="I1442" s="13" t="s">
        <v>41</v>
      </c>
      <c r="J1442" s="13"/>
      <c r="K1442" s="13"/>
      <c r="L1442" s="4">
        <v>4</v>
      </c>
      <c r="M1442" s="14">
        <f>148*(1-P3/100)</f>
        <v>148</v>
      </c>
      <c r="N1442" s="15"/>
      <c r="O1442" s="13">
        <f t="shared" si="60"/>
        <v>0</v>
      </c>
      <c r="P1442" s="22">
        <f>0.065*N1442</f>
        <v>0</v>
      </c>
      <c r="Q1442" s="23">
        <f>0.00022*N1442</f>
        <v>0</v>
      </c>
      <c r="R1442" s="24"/>
      <c r="S1442" s="25" t="s">
        <v>5934</v>
      </c>
      <c r="T1442" s="25" t="s">
        <v>43</v>
      </c>
      <c r="U1442" s="5"/>
      <c r="V1442" s="5"/>
      <c r="W1442" s="5" t="s">
        <v>46</v>
      </c>
      <c r="X1442" s="5"/>
      <c r="Y1442" s="5"/>
      <c r="Z1442" s="5" t="str">
        <f>HYPERLINK("https://knigipp.ru/api/getInfo/image/f8d102e5-6952-11ec-a20f-ac1f6b442185")</f>
        <v>https://knigipp.ru/api/getInfo/image/f8d102e5-6952-11ec-a20f-ac1f6b442185</v>
      </c>
      <c r="AA1442" s="33">
        <v>64</v>
      </c>
      <c r="AB1442" s="5"/>
      <c r="AC1442" s="5" t="s">
        <v>96</v>
      </c>
      <c r="AD1442" s="5"/>
      <c r="AE1442" s="5" t="s">
        <v>49</v>
      </c>
      <c r="AF1442" s="5"/>
      <c r="AG1442" s="5"/>
      <c r="AH1442" s="5" t="s">
        <v>5929</v>
      </c>
    </row>
    <row r="1443" spans="2:34" ht="21" customHeight="1" outlineLevel="5" x14ac:dyDescent="0.2">
      <c r="B1443" s="42">
        <v>1112</v>
      </c>
      <c r="C1443" s="5" t="s">
        <v>5935</v>
      </c>
      <c r="D1443" s="5" t="s">
        <v>5936</v>
      </c>
      <c r="E1443" s="6" t="s">
        <v>5937</v>
      </c>
      <c r="F1443" s="10"/>
      <c r="G1443" s="11" t="s">
        <v>5927</v>
      </c>
      <c r="H1443" s="12">
        <v>25</v>
      </c>
      <c r="I1443" s="13" t="s">
        <v>41</v>
      </c>
      <c r="J1443" s="13"/>
      <c r="K1443" s="13"/>
      <c r="L1443" s="4">
        <v>4</v>
      </c>
      <c r="M1443" s="14">
        <f>148*(1-P3/100)</f>
        <v>148</v>
      </c>
      <c r="N1443" s="15"/>
      <c r="O1443" s="13">
        <f t="shared" si="60"/>
        <v>0</v>
      </c>
      <c r="P1443" s="22">
        <f>0.207*N1443</f>
        <v>0</v>
      </c>
      <c r="Q1443" s="23">
        <f>0.00036*N1443</f>
        <v>0</v>
      </c>
      <c r="R1443" s="24"/>
      <c r="S1443" s="25" t="s">
        <v>5938</v>
      </c>
      <c r="T1443" s="25" t="s">
        <v>43</v>
      </c>
      <c r="U1443" s="5"/>
      <c r="V1443" s="5"/>
      <c r="W1443" s="5" t="s">
        <v>46</v>
      </c>
      <c r="X1443" s="5"/>
      <c r="Y1443" s="5"/>
      <c r="Z1443" s="5" t="str">
        <f>HYPERLINK("https://knigipp.ru/api/getInfo/image/c9ab3f66-49dd-11eb-a25e-ac1f6b442184")</f>
        <v>https://knigipp.ru/api/getInfo/image/c9ab3f66-49dd-11eb-a25e-ac1f6b442184</v>
      </c>
      <c r="AA1443" s="33">
        <v>64</v>
      </c>
      <c r="AB1443" s="5"/>
      <c r="AC1443" s="5" t="s">
        <v>96</v>
      </c>
      <c r="AD1443" s="5"/>
      <c r="AE1443" s="5" t="s">
        <v>49</v>
      </c>
      <c r="AF1443" s="5"/>
      <c r="AG1443" s="5"/>
      <c r="AH1443" s="5" t="s">
        <v>5929</v>
      </c>
    </row>
    <row r="1444" spans="2:34" ht="21" customHeight="1" outlineLevel="5" x14ac:dyDescent="0.2">
      <c r="B1444" s="42">
        <v>1113</v>
      </c>
      <c r="C1444" s="5" t="s">
        <v>5939</v>
      </c>
      <c r="D1444" s="5" t="s">
        <v>5940</v>
      </c>
      <c r="E1444" s="6" t="s">
        <v>5941</v>
      </c>
      <c r="F1444" s="10"/>
      <c r="G1444" s="11" t="s">
        <v>5942</v>
      </c>
      <c r="H1444" s="12">
        <v>25</v>
      </c>
      <c r="I1444" s="13" t="s">
        <v>41</v>
      </c>
      <c r="J1444" s="13"/>
      <c r="K1444" s="13"/>
      <c r="L1444" s="4">
        <v>4</v>
      </c>
      <c r="M1444" s="14">
        <f>148*(1-P3/100)</f>
        <v>148</v>
      </c>
      <c r="N1444" s="15"/>
      <c r="O1444" s="13">
        <f t="shared" si="60"/>
        <v>0</v>
      </c>
      <c r="P1444" s="22">
        <f>0.214*N1444</f>
        <v>0</v>
      </c>
      <c r="Q1444" s="23">
        <f>0.00041*N1444</f>
        <v>0</v>
      </c>
      <c r="R1444" s="24"/>
      <c r="S1444" s="25" t="s">
        <v>5943</v>
      </c>
      <c r="T1444" s="25" t="s">
        <v>43</v>
      </c>
      <c r="U1444" s="5"/>
      <c r="V1444" s="5"/>
      <c r="W1444" s="5" t="s">
        <v>46</v>
      </c>
      <c r="X1444" s="5"/>
      <c r="Y1444" s="5"/>
      <c r="Z1444" s="5" t="str">
        <f>HYPERLINK("https://knigipp.ru/api/getInfo/image/be4acfe5-5353-11ec-a20f-ac1f6b442185")</f>
        <v>https://knigipp.ru/api/getInfo/image/be4acfe5-5353-11ec-a20f-ac1f6b442185</v>
      </c>
      <c r="AA1444" s="33">
        <v>64</v>
      </c>
      <c r="AB1444" s="5"/>
      <c r="AC1444" s="5" t="s">
        <v>96</v>
      </c>
      <c r="AD1444" s="5"/>
      <c r="AE1444" s="5" t="s">
        <v>49</v>
      </c>
      <c r="AF1444" s="5"/>
      <c r="AG1444" s="5"/>
      <c r="AH1444" s="5" t="s">
        <v>5929</v>
      </c>
    </row>
    <row r="1445" spans="2:34" ht="21" customHeight="1" outlineLevel="5" x14ac:dyDescent="0.2">
      <c r="B1445" s="42">
        <v>1114</v>
      </c>
      <c r="C1445" s="5" t="s">
        <v>5944</v>
      </c>
      <c r="D1445" s="5" t="s">
        <v>5945</v>
      </c>
      <c r="E1445" s="6" t="s">
        <v>5946</v>
      </c>
      <c r="F1445" s="10"/>
      <c r="G1445" s="11" t="s">
        <v>5927</v>
      </c>
      <c r="H1445" s="12">
        <v>25</v>
      </c>
      <c r="I1445" s="13" t="s">
        <v>41</v>
      </c>
      <c r="J1445" s="13"/>
      <c r="K1445" s="13"/>
      <c r="L1445" s="4">
        <v>4</v>
      </c>
      <c r="M1445" s="14">
        <f>148*(1-P3/100)</f>
        <v>148</v>
      </c>
      <c r="N1445" s="15"/>
      <c r="O1445" s="13">
        <f t="shared" si="60"/>
        <v>0</v>
      </c>
      <c r="P1445" s="22">
        <f>0.199*N1445</f>
        <v>0</v>
      </c>
      <c r="Q1445" s="23">
        <f>0.00052*N1445</f>
        <v>0</v>
      </c>
      <c r="R1445" s="24"/>
      <c r="S1445" s="25" t="s">
        <v>5947</v>
      </c>
      <c r="T1445" s="25" t="s">
        <v>43</v>
      </c>
      <c r="U1445" s="5"/>
      <c r="V1445" s="5"/>
      <c r="W1445" s="5" t="s">
        <v>46</v>
      </c>
      <c r="X1445" s="5"/>
      <c r="Y1445" s="5"/>
      <c r="Z1445" s="5" t="str">
        <f>HYPERLINK("https://knigipp.ru/api/getInfo/image/a0389e54-49dd-11eb-a25e-ac1f6b442184")</f>
        <v>https://knigipp.ru/api/getInfo/image/a0389e54-49dd-11eb-a25e-ac1f6b442184</v>
      </c>
      <c r="AA1445" s="33">
        <v>64</v>
      </c>
      <c r="AB1445" s="5"/>
      <c r="AC1445" s="5" t="s">
        <v>96</v>
      </c>
      <c r="AD1445" s="5"/>
      <c r="AE1445" s="5" t="s">
        <v>49</v>
      </c>
      <c r="AF1445" s="5"/>
      <c r="AG1445" s="5"/>
      <c r="AH1445" s="5" t="s">
        <v>5929</v>
      </c>
    </row>
    <row r="1446" spans="2:34" ht="21" customHeight="1" outlineLevel="5" x14ac:dyDescent="0.2">
      <c r="B1446" s="42">
        <v>1115</v>
      </c>
      <c r="C1446" s="5" t="s">
        <v>5948</v>
      </c>
      <c r="D1446" s="5" t="s">
        <v>5949</v>
      </c>
      <c r="E1446" s="6" t="s">
        <v>5950</v>
      </c>
      <c r="F1446" s="10"/>
      <c r="G1446" s="11" t="s">
        <v>5927</v>
      </c>
      <c r="H1446" s="12">
        <v>25</v>
      </c>
      <c r="I1446" s="13" t="s">
        <v>41</v>
      </c>
      <c r="J1446" s="13"/>
      <c r="K1446" s="13"/>
      <c r="L1446" s="4">
        <v>4</v>
      </c>
      <c r="M1446" s="14">
        <f>148*(1-P3/100)</f>
        <v>148</v>
      </c>
      <c r="N1446" s="15"/>
      <c r="O1446" s="13">
        <f t="shared" si="60"/>
        <v>0</v>
      </c>
      <c r="P1446" s="22">
        <f>0.209*N1446</f>
        <v>0</v>
      </c>
      <c r="Q1446" s="23">
        <f>0.00047*N1446</f>
        <v>0</v>
      </c>
      <c r="R1446" s="24"/>
      <c r="S1446" s="25" t="s">
        <v>5951</v>
      </c>
      <c r="T1446" s="25" t="s">
        <v>43</v>
      </c>
      <c r="U1446" s="5"/>
      <c r="V1446" s="5"/>
      <c r="W1446" s="5" t="s">
        <v>46</v>
      </c>
      <c r="X1446" s="5"/>
      <c r="Y1446" s="5"/>
      <c r="Z1446" s="5" t="str">
        <f>HYPERLINK("https://knigipp.ru/api/getInfo/image/eecb8286-49dd-11eb-a25e-ac1f6b442184")</f>
        <v>https://knigipp.ru/api/getInfo/image/eecb8286-49dd-11eb-a25e-ac1f6b442184</v>
      </c>
      <c r="AA1446" s="33">
        <v>64</v>
      </c>
      <c r="AB1446" s="5"/>
      <c r="AC1446" s="5" t="s">
        <v>96</v>
      </c>
      <c r="AD1446" s="5"/>
      <c r="AE1446" s="5" t="s">
        <v>49</v>
      </c>
      <c r="AF1446" s="5"/>
      <c r="AG1446" s="5"/>
      <c r="AH1446" s="5" t="s">
        <v>5929</v>
      </c>
    </row>
    <row r="1447" spans="2:34" ht="21" customHeight="1" outlineLevel="5" x14ac:dyDescent="0.2">
      <c r="B1447" s="42">
        <v>1116</v>
      </c>
      <c r="C1447" s="5" t="s">
        <v>5952</v>
      </c>
      <c r="D1447" s="5" t="s">
        <v>5953</v>
      </c>
      <c r="E1447" s="6" t="s">
        <v>5954</v>
      </c>
      <c r="F1447" s="10"/>
      <c r="G1447" s="11" t="s">
        <v>5955</v>
      </c>
      <c r="H1447" s="12">
        <v>25</v>
      </c>
      <c r="I1447" s="13" t="s">
        <v>41</v>
      </c>
      <c r="J1447" s="13"/>
      <c r="K1447" s="13"/>
      <c r="L1447" s="4">
        <v>4</v>
      </c>
      <c r="M1447" s="14">
        <f>148*(1-P3/100)</f>
        <v>148</v>
      </c>
      <c r="N1447" s="15"/>
      <c r="O1447" s="13">
        <f t="shared" si="60"/>
        <v>0</v>
      </c>
      <c r="P1447" s="22">
        <f>0.208*N1447</f>
        <v>0</v>
      </c>
      <c r="Q1447" s="23">
        <f>0.00036*N1447</f>
        <v>0</v>
      </c>
      <c r="R1447" s="24"/>
      <c r="S1447" s="25" t="s">
        <v>5956</v>
      </c>
      <c r="T1447" s="25" t="s">
        <v>43</v>
      </c>
      <c r="U1447" s="5"/>
      <c r="V1447" s="5" t="s">
        <v>5957</v>
      </c>
      <c r="W1447" s="5" t="s">
        <v>46</v>
      </c>
      <c r="X1447" s="5"/>
      <c r="Y1447" s="5"/>
      <c r="Z1447" s="5" t="str">
        <f>HYPERLINK("https://knigipp.ru/api/getInfo/image/3243934d-3555-11ef-a261-00155d82e908")</f>
        <v>https://knigipp.ru/api/getInfo/image/3243934d-3555-11ef-a261-00155d82e908</v>
      </c>
      <c r="AA1447" s="33">
        <v>64</v>
      </c>
      <c r="AB1447" s="5" t="s">
        <v>47</v>
      </c>
      <c r="AC1447" s="5" t="s">
        <v>96</v>
      </c>
      <c r="AD1447" s="5"/>
      <c r="AE1447" s="5" t="s">
        <v>49</v>
      </c>
      <c r="AF1447" s="5"/>
      <c r="AG1447" s="5"/>
      <c r="AH1447" s="5" t="s">
        <v>5929</v>
      </c>
    </row>
    <row r="1448" spans="2:34" ht="21" customHeight="1" outlineLevel="5" x14ac:dyDescent="0.2">
      <c r="B1448" s="42">
        <v>1117</v>
      </c>
      <c r="C1448" s="5" t="s">
        <v>5958</v>
      </c>
      <c r="D1448" s="5" t="s">
        <v>5959</v>
      </c>
      <c r="E1448" s="6" t="s">
        <v>5960</v>
      </c>
      <c r="F1448" s="10"/>
      <c r="G1448" s="11" t="s">
        <v>5961</v>
      </c>
      <c r="H1448" s="12">
        <v>25</v>
      </c>
      <c r="I1448" s="13" t="s">
        <v>41</v>
      </c>
      <c r="J1448" s="13"/>
      <c r="K1448" s="13"/>
      <c r="L1448" s="4">
        <v>4</v>
      </c>
      <c r="M1448" s="14">
        <f>148*(1-P3/100)</f>
        <v>148</v>
      </c>
      <c r="N1448" s="15"/>
      <c r="O1448" s="13">
        <f t="shared" si="60"/>
        <v>0</v>
      </c>
      <c r="P1448" s="22">
        <f>0.206*N1448</f>
        <v>0</v>
      </c>
      <c r="Q1448" s="23">
        <f>0.00047*N1448</f>
        <v>0</v>
      </c>
      <c r="R1448" s="24"/>
      <c r="S1448" s="25" t="s">
        <v>5962</v>
      </c>
      <c r="T1448" s="25" t="s">
        <v>43</v>
      </c>
      <c r="U1448" s="5"/>
      <c r="V1448" s="5"/>
      <c r="W1448" s="5" t="s">
        <v>46</v>
      </c>
      <c r="X1448" s="5"/>
      <c r="Y1448" s="5"/>
      <c r="Z1448" s="5" t="str">
        <f>HYPERLINK("https://knigipp.ru/api/getInfo/image/a01b033f-c7c4-11ed-a230-00155d82e902")</f>
        <v>https://knigipp.ru/api/getInfo/image/a01b033f-c7c4-11ed-a230-00155d82e902</v>
      </c>
      <c r="AA1448" s="33">
        <v>64</v>
      </c>
      <c r="AB1448" s="5" t="s">
        <v>47</v>
      </c>
      <c r="AC1448" s="5" t="s">
        <v>96</v>
      </c>
      <c r="AD1448" s="5"/>
      <c r="AE1448" s="5" t="s">
        <v>49</v>
      </c>
      <c r="AF1448" s="5"/>
      <c r="AG1448" s="5"/>
      <c r="AH1448" s="5" t="s">
        <v>5929</v>
      </c>
    </row>
    <row r="1449" spans="2:34" ht="21" customHeight="1" outlineLevel="5" x14ac:dyDescent="0.2">
      <c r="B1449" s="42">
        <v>1118</v>
      </c>
      <c r="C1449" s="5" t="s">
        <v>5963</v>
      </c>
      <c r="D1449" s="5" t="s">
        <v>5964</v>
      </c>
      <c r="E1449" s="6" t="s">
        <v>5965</v>
      </c>
      <c r="F1449" s="10"/>
      <c r="G1449" s="11" t="s">
        <v>5966</v>
      </c>
      <c r="H1449" s="12">
        <v>25</v>
      </c>
      <c r="I1449" s="13" t="s">
        <v>41</v>
      </c>
      <c r="J1449" s="13"/>
      <c r="K1449" s="13"/>
      <c r="L1449" s="4">
        <v>4</v>
      </c>
      <c r="M1449" s="14">
        <f>148*(1-P3/100)</f>
        <v>148</v>
      </c>
      <c r="N1449" s="15"/>
      <c r="O1449" s="13">
        <f t="shared" si="60"/>
        <v>0</v>
      </c>
      <c r="P1449" s="22">
        <f>0.209*N1449</f>
        <v>0</v>
      </c>
      <c r="Q1449" s="23">
        <f>0.00047*N1449</f>
        <v>0</v>
      </c>
      <c r="R1449" s="24"/>
      <c r="S1449" s="25" t="s">
        <v>5967</v>
      </c>
      <c r="T1449" s="25" t="s">
        <v>43</v>
      </c>
      <c r="U1449" s="5"/>
      <c r="V1449" s="5"/>
      <c r="W1449" s="5" t="s">
        <v>46</v>
      </c>
      <c r="X1449" s="5"/>
      <c r="Y1449" s="5"/>
      <c r="Z1449" s="5" t="str">
        <f>HYPERLINK("https://knigipp.ru/api/getInfo/image/dfdb8224-5353-11ec-a20f-ac1f6b442185")</f>
        <v>https://knigipp.ru/api/getInfo/image/dfdb8224-5353-11ec-a20f-ac1f6b442185</v>
      </c>
      <c r="AA1449" s="33">
        <v>64</v>
      </c>
      <c r="AB1449" s="5"/>
      <c r="AC1449" s="5" t="s">
        <v>96</v>
      </c>
      <c r="AD1449" s="5"/>
      <c r="AE1449" s="5" t="s">
        <v>49</v>
      </c>
      <c r="AF1449" s="5"/>
      <c r="AG1449" s="5"/>
      <c r="AH1449" s="5" t="s">
        <v>5929</v>
      </c>
    </row>
    <row r="1450" spans="2:34" ht="21" customHeight="1" outlineLevel="5" x14ac:dyDescent="0.2">
      <c r="B1450" s="42">
        <v>1119</v>
      </c>
      <c r="C1450" s="5" t="s">
        <v>5968</v>
      </c>
      <c r="D1450" s="5" t="s">
        <v>5969</v>
      </c>
      <c r="E1450" s="6" t="s">
        <v>5970</v>
      </c>
      <c r="F1450" s="10"/>
      <c r="G1450" s="11" t="s">
        <v>5927</v>
      </c>
      <c r="H1450" s="12">
        <v>25</v>
      </c>
      <c r="I1450" s="13" t="s">
        <v>41</v>
      </c>
      <c r="J1450" s="13"/>
      <c r="K1450" s="13"/>
      <c r="L1450" s="4">
        <v>4</v>
      </c>
      <c r="M1450" s="14">
        <f>148*(1-P3/100)</f>
        <v>148</v>
      </c>
      <c r="N1450" s="15"/>
      <c r="O1450" s="13">
        <f t="shared" si="60"/>
        <v>0</v>
      </c>
      <c r="P1450" s="22">
        <f>0.206*N1450</f>
        <v>0</v>
      </c>
      <c r="Q1450" s="23">
        <f>0.00047*N1450</f>
        <v>0</v>
      </c>
      <c r="R1450" s="24"/>
      <c r="S1450" s="25" t="s">
        <v>5971</v>
      </c>
      <c r="T1450" s="25" t="s">
        <v>43</v>
      </c>
      <c r="U1450" s="5"/>
      <c r="V1450" s="5"/>
      <c r="W1450" s="5" t="s">
        <v>46</v>
      </c>
      <c r="X1450" s="5"/>
      <c r="Y1450" s="5"/>
      <c r="Z1450" s="5" t="str">
        <f>HYPERLINK("https://knigipp.ru/api/getInfo/image/218d3a6d-6953-11ec-a20f-ac1f6b442185")</f>
        <v>https://knigipp.ru/api/getInfo/image/218d3a6d-6953-11ec-a20f-ac1f6b442185</v>
      </c>
      <c r="AA1450" s="33">
        <v>64</v>
      </c>
      <c r="AB1450" s="5"/>
      <c r="AC1450" s="5" t="s">
        <v>96</v>
      </c>
      <c r="AD1450" s="5"/>
      <c r="AE1450" s="5" t="s">
        <v>49</v>
      </c>
      <c r="AF1450" s="5"/>
      <c r="AG1450" s="5"/>
      <c r="AH1450" s="5" t="s">
        <v>5929</v>
      </c>
    </row>
    <row r="1451" spans="2:34" ht="22.95" customHeight="1" outlineLevel="4" x14ac:dyDescent="0.2">
      <c r="B1451" s="75" t="s">
        <v>5972</v>
      </c>
      <c r="C1451" s="75"/>
      <c r="D1451" s="75"/>
    </row>
    <row r="1452" spans="2:34" ht="21" customHeight="1" outlineLevel="5" x14ac:dyDescent="0.2">
      <c r="B1452" s="42">
        <v>1120</v>
      </c>
      <c r="C1452" s="5" t="s">
        <v>5973</v>
      </c>
      <c r="D1452" s="5" t="s">
        <v>5974</v>
      </c>
      <c r="E1452" s="6" t="s">
        <v>5975</v>
      </c>
      <c r="F1452" s="10"/>
      <c r="G1452" s="11" t="s">
        <v>5976</v>
      </c>
      <c r="H1452" s="12">
        <v>20</v>
      </c>
      <c r="I1452" s="13" t="s">
        <v>371</v>
      </c>
      <c r="J1452" s="13"/>
      <c r="K1452" s="13"/>
      <c r="L1452" s="4">
        <v>4</v>
      </c>
      <c r="M1452" s="14">
        <f>169*(1-P3/100)</f>
        <v>169</v>
      </c>
      <c r="N1452" s="15"/>
      <c r="O1452" s="13">
        <f>M1452*N1452</f>
        <v>0</v>
      </c>
      <c r="P1452" s="13">
        <v>0</v>
      </c>
      <c r="Q1452" s="13">
        <v>0</v>
      </c>
      <c r="R1452" s="24"/>
      <c r="S1452" s="25" t="s">
        <v>5977</v>
      </c>
      <c r="T1452" s="25" t="s">
        <v>43</v>
      </c>
      <c r="U1452" s="5"/>
      <c r="V1452" s="5"/>
      <c r="W1452" s="5" t="s">
        <v>46</v>
      </c>
      <c r="X1452" s="5"/>
      <c r="Y1452" s="5"/>
      <c r="Z1452" s="5" t="str">
        <f>HYPERLINK("https://knigipp.ru/api/getInfo/image/419115ed-3b1c-11ec-a20f-ac1f6b442185")</f>
        <v>https://knigipp.ru/api/getInfo/image/419115ed-3b1c-11ec-a20f-ac1f6b442185</v>
      </c>
      <c r="AA1452" s="33">
        <v>96</v>
      </c>
      <c r="AB1452" s="5"/>
      <c r="AC1452" s="5" t="s">
        <v>48</v>
      </c>
      <c r="AD1452" s="5"/>
      <c r="AE1452" s="5" t="s">
        <v>49</v>
      </c>
      <c r="AF1452" s="5"/>
      <c r="AG1452" s="5"/>
      <c r="AH1452" s="5" t="s">
        <v>5978</v>
      </c>
    </row>
    <row r="1453" spans="2:34" ht="22.95" customHeight="1" outlineLevel="4" x14ac:dyDescent="0.2">
      <c r="B1453" s="75" t="s">
        <v>5979</v>
      </c>
      <c r="C1453" s="75"/>
      <c r="D1453" s="75"/>
    </row>
    <row r="1454" spans="2:34" ht="21" customHeight="1" outlineLevel="5" x14ac:dyDescent="0.2">
      <c r="B1454" s="42">
        <v>1121</v>
      </c>
      <c r="C1454" s="5" t="s">
        <v>5980</v>
      </c>
      <c r="D1454" s="5" t="s">
        <v>5981</v>
      </c>
      <c r="E1454" s="6" t="s">
        <v>5982</v>
      </c>
      <c r="F1454" s="10"/>
      <c r="G1454" s="11" t="s">
        <v>5983</v>
      </c>
      <c r="H1454" s="12">
        <v>20</v>
      </c>
      <c r="I1454" s="13" t="s">
        <v>41</v>
      </c>
      <c r="J1454" s="13"/>
      <c r="K1454" s="13"/>
      <c r="L1454" s="4">
        <v>4</v>
      </c>
      <c r="M1454" s="14">
        <f>149*(1-P3/100)</f>
        <v>149</v>
      </c>
      <c r="N1454" s="15"/>
      <c r="O1454" s="13">
        <f>M1454*N1454</f>
        <v>0</v>
      </c>
      <c r="P1454" s="22">
        <f>0.245*N1454</f>
        <v>0</v>
      </c>
      <c r="Q1454" s="23">
        <f>0.00028*N1454</f>
        <v>0</v>
      </c>
      <c r="R1454" s="24"/>
      <c r="S1454" s="25" t="s">
        <v>5984</v>
      </c>
      <c r="T1454" s="25" t="s">
        <v>43</v>
      </c>
      <c r="U1454" s="5"/>
      <c r="V1454" s="5"/>
      <c r="W1454" s="5" t="s">
        <v>46</v>
      </c>
      <c r="X1454" s="5"/>
      <c r="Y1454" s="5"/>
      <c r="Z1454" s="5" t="str">
        <f>HYPERLINK("https://knigipp.ru/api/getInfo/image/d35748c1-3d14-11ea-a240-ac1f6b442184")</f>
        <v>https://knigipp.ru/api/getInfo/image/d35748c1-3d14-11ea-a240-ac1f6b442184</v>
      </c>
      <c r="AA1454" s="33">
        <v>64</v>
      </c>
      <c r="AB1454" s="5"/>
      <c r="AC1454" s="5" t="s">
        <v>48</v>
      </c>
      <c r="AD1454" s="5"/>
      <c r="AE1454" s="5" t="s">
        <v>49</v>
      </c>
      <c r="AF1454" s="5"/>
      <c r="AG1454" s="5"/>
      <c r="AH1454" s="5" t="s">
        <v>5915</v>
      </c>
    </row>
    <row r="1455" spans="2:34" ht="21" customHeight="1" outlineLevel="5" x14ac:dyDescent="0.2">
      <c r="B1455" s="42">
        <v>1122</v>
      </c>
      <c r="C1455" s="5" t="s">
        <v>5985</v>
      </c>
      <c r="D1455" s="5" t="s">
        <v>5986</v>
      </c>
      <c r="E1455" s="6" t="s">
        <v>5987</v>
      </c>
      <c r="F1455" s="10"/>
      <c r="G1455" s="11" t="s">
        <v>5988</v>
      </c>
      <c r="H1455" s="12">
        <v>20</v>
      </c>
      <c r="I1455" s="13" t="s">
        <v>371</v>
      </c>
      <c r="J1455" s="13"/>
      <c r="K1455" s="13"/>
      <c r="L1455" s="4">
        <v>4</v>
      </c>
      <c r="M1455" s="14">
        <f>149*(1-P3/100)</f>
        <v>149</v>
      </c>
      <c r="N1455" s="15"/>
      <c r="O1455" s="13">
        <f>M1455*N1455</f>
        <v>0</v>
      </c>
      <c r="P1455" s="22">
        <f>0.245*N1455</f>
        <v>0</v>
      </c>
      <c r="Q1455" s="23">
        <f>0.00028*N1455</f>
        <v>0</v>
      </c>
      <c r="R1455" s="24"/>
      <c r="S1455" s="25" t="s">
        <v>5989</v>
      </c>
      <c r="T1455" s="25" t="s">
        <v>43</v>
      </c>
      <c r="U1455" s="5"/>
      <c r="V1455" s="5"/>
      <c r="W1455" s="5" t="s">
        <v>46</v>
      </c>
      <c r="X1455" s="5"/>
      <c r="Y1455" s="5"/>
      <c r="Z1455" s="5" t="str">
        <f>HYPERLINK("https://knigipp.ru/api/getInfo/image/eddefc10-2647-11ea-a239-ac1f6b442184")</f>
        <v>https://knigipp.ru/api/getInfo/image/eddefc10-2647-11ea-a239-ac1f6b442184</v>
      </c>
      <c r="AA1455" s="33">
        <v>64</v>
      </c>
      <c r="AB1455" s="5"/>
      <c r="AC1455" s="5" t="s">
        <v>48</v>
      </c>
      <c r="AD1455" s="5"/>
      <c r="AE1455" s="5" t="s">
        <v>49</v>
      </c>
      <c r="AF1455" s="5"/>
      <c r="AG1455" s="5"/>
      <c r="AH1455" s="5" t="s">
        <v>5915</v>
      </c>
    </row>
    <row r="1456" spans="2:34" ht="22.95" customHeight="1" outlineLevel="4" x14ac:dyDescent="0.2">
      <c r="B1456" s="75" t="s">
        <v>5990</v>
      </c>
      <c r="C1456" s="75"/>
      <c r="D1456" s="75"/>
    </row>
    <row r="1457" spans="2:35" ht="21" customHeight="1" outlineLevel="5" x14ac:dyDescent="0.2">
      <c r="B1457" s="56">
        <v>1123</v>
      </c>
      <c r="C1457" s="40" t="s">
        <v>5991</v>
      </c>
      <c r="D1457" s="40" t="s">
        <v>5992</v>
      </c>
      <c r="E1457" s="41" t="s">
        <v>5993</v>
      </c>
      <c r="F1457" s="44"/>
      <c r="G1457" s="45" t="s">
        <v>5994</v>
      </c>
      <c r="H1457" s="46">
        <v>15</v>
      </c>
      <c r="I1457" s="47" t="s">
        <v>261</v>
      </c>
      <c r="J1457" s="47"/>
      <c r="K1457" s="47"/>
      <c r="L1457" s="39">
        <v>4</v>
      </c>
      <c r="M1457" s="57">
        <v>134.27083333333334</v>
      </c>
      <c r="N1457" s="15"/>
      <c r="O1457" s="47">
        <f>M1457*N1457</f>
        <v>0</v>
      </c>
      <c r="P1457" s="58">
        <f>0.358*N1457</f>
        <v>0</v>
      </c>
      <c r="Q1457" s="59">
        <f>0.0005*N1457</f>
        <v>0</v>
      </c>
      <c r="R1457" s="51"/>
      <c r="S1457" s="52" t="s">
        <v>5995</v>
      </c>
      <c r="T1457" s="52" t="s">
        <v>43</v>
      </c>
      <c r="U1457" s="40"/>
      <c r="V1457" s="40"/>
      <c r="W1457" s="40" t="s">
        <v>46</v>
      </c>
      <c r="X1457" s="40"/>
      <c r="Y1457" s="40"/>
      <c r="Z1457" s="40" t="str">
        <f>HYPERLINK("https://knigipp.ru/api/getInfo/image/9bcab120-ad83-11eb-a201-ac1f6b442185")</f>
        <v>https://knigipp.ru/api/getInfo/image/9bcab120-ad83-11eb-a201-ac1f6b442185</v>
      </c>
      <c r="AA1457" s="53">
        <v>64</v>
      </c>
      <c r="AB1457" s="40"/>
      <c r="AC1457" s="40" t="s">
        <v>48</v>
      </c>
      <c r="AD1457" s="40"/>
      <c r="AE1457" s="40" t="s">
        <v>49</v>
      </c>
      <c r="AF1457" s="40"/>
      <c r="AG1457" s="40"/>
      <c r="AH1457" s="40" t="s">
        <v>5996</v>
      </c>
      <c r="AI1457" s="54" t="s">
        <v>5299</v>
      </c>
    </row>
    <row r="1458" spans="2:35" ht="22.95" customHeight="1" outlineLevel="3" x14ac:dyDescent="0.2">
      <c r="B1458" s="74" t="s">
        <v>5997</v>
      </c>
      <c r="C1458" s="74"/>
      <c r="D1458" s="74"/>
    </row>
    <row r="1459" spans="2:35" ht="22.95" customHeight="1" outlineLevel="4" x14ac:dyDescent="0.2">
      <c r="B1459" s="75" t="s">
        <v>5998</v>
      </c>
      <c r="C1459" s="75"/>
      <c r="D1459" s="75"/>
    </row>
    <row r="1460" spans="2:35" ht="21" customHeight="1" outlineLevel="5" x14ac:dyDescent="0.2">
      <c r="B1460" s="56">
        <v>1124</v>
      </c>
      <c r="C1460" s="40" t="s">
        <v>5999</v>
      </c>
      <c r="D1460" s="40" t="s">
        <v>6000</v>
      </c>
      <c r="E1460" s="41" t="s">
        <v>6001</v>
      </c>
      <c r="F1460" s="44"/>
      <c r="G1460" s="45" t="s">
        <v>6002</v>
      </c>
      <c r="H1460" s="46">
        <v>50</v>
      </c>
      <c r="I1460" s="47" t="s">
        <v>261</v>
      </c>
      <c r="J1460" s="47"/>
      <c r="K1460" s="47"/>
      <c r="L1460" s="39">
        <v>4</v>
      </c>
      <c r="M1460" s="57">
        <v>88.437500000000014</v>
      </c>
      <c r="N1460" s="15"/>
      <c r="O1460" s="47">
        <f>M1460*N1460</f>
        <v>0</v>
      </c>
      <c r="P1460" s="49">
        <f>0.13*N1460</f>
        <v>0</v>
      </c>
      <c r="Q1460" s="59">
        <f>0.0004*N1460</f>
        <v>0</v>
      </c>
      <c r="R1460" s="51"/>
      <c r="S1460" s="52" t="s">
        <v>6003</v>
      </c>
      <c r="T1460" s="52" t="s">
        <v>43</v>
      </c>
      <c r="U1460" s="40"/>
      <c r="V1460" s="40"/>
      <c r="W1460" s="40" t="s">
        <v>46</v>
      </c>
      <c r="X1460" s="40"/>
      <c r="Y1460" s="40"/>
      <c r="Z1460" s="40" t="str">
        <f>HYPERLINK("https://knigipp.ru/api/getInfo/image/53c9e1d9-6d0a-11eb-a26d-ac1f6b442184")</f>
        <v>https://knigipp.ru/api/getInfo/image/53c9e1d9-6d0a-11eb-a26d-ac1f6b442184</v>
      </c>
      <c r="AA1460" s="53">
        <v>16</v>
      </c>
      <c r="AB1460" s="40"/>
      <c r="AC1460" s="40" t="s">
        <v>96</v>
      </c>
      <c r="AD1460" s="40"/>
      <c r="AE1460" s="40" t="s">
        <v>49</v>
      </c>
      <c r="AF1460" s="40"/>
      <c r="AG1460" s="40"/>
      <c r="AH1460" s="40" t="s">
        <v>6004</v>
      </c>
      <c r="AI1460" s="54" t="s">
        <v>5299</v>
      </c>
    </row>
    <row r="1461" spans="2:35" ht="21" customHeight="1" outlineLevel="5" x14ac:dyDescent="0.2">
      <c r="B1461" s="56">
        <v>1125</v>
      </c>
      <c r="C1461" s="40" t="s">
        <v>6005</v>
      </c>
      <c r="D1461" s="40" t="s">
        <v>6006</v>
      </c>
      <c r="E1461" s="41" t="s">
        <v>6007</v>
      </c>
      <c r="F1461" s="44"/>
      <c r="G1461" s="45" t="s">
        <v>6002</v>
      </c>
      <c r="H1461" s="46">
        <v>50</v>
      </c>
      <c r="I1461" s="47" t="s">
        <v>261</v>
      </c>
      <c r="J1461" s="47"/>
      <c r="K1461" s="47"/>
      <c r="L1461" s="39">
        <v>4</v>
      </c>
      <c r="M1461" s="57">
        <v>88.437500000000014</v>
      </c>
      <c r="N1461" s="15"/>
      <c r="O1461" s="47">
        <f>M1461*N1461</f>
        <v>0</v>
      </c>
      <c r="P1461" s="49">
        <f>0.13*N1461</f>
        <v>0</v>
      </c>
      <c r="Q1461" s="59">
        <f>0.0004*N1461</f>
        <v>0</v>
      </c>
      <c r="R1461" s="51"/>
      <c r="S1461" s="52" t="s">
        <v>6008</v>
      </c>
      <c r="T1461" s="52" t="s">
        <v>43</v>
      </c>
      <c r="U1461" s="40"/>
      <c r="V1461" s="40"/>
      <c r="W1461" s="40" t="s">
        <v>46</v>
      </c>
      <c r="X1461" s="40"/>
      <c r="Y1461" s="40"/>
      <c r="Z1461" s="40" t="str">
        <f>HYPERLINK("https://knigipp.ru/api/getInfo/image/91d1c26f-6d0c-11eb-a26d-ac1f6b442184")</f>
        <v>https://knigipp.ru/api/getInfo/image/91d1c26f-6d0c-11eb-a26d-ac1f6b442184</v>
      </c>
      <c r="AA1461" s="53">
        <v>16</v>
      </c>
      <c r="AB1461" s="40"/>
      <c r="AC1461" s="40" t="s">
        <v>96</v>
      </c>
      <c r="AD1461" s="40"/>
      <c r="AE1461" s="40" t="s">
        <v>49</v>
      </c>
      <c r="AF1461" s="40"/>
      <c r="AG1461" s="40"/>
      <c r="AH1461" s="40" t="s">
        <v>6004</v>
      </c>
      <c r="AI1461" s="54" t="s">
        <v>5299</v>
      </c>
    </row>
    <row r="1462" spans="2:35" ht="21" customHeight="1" outlineLevel="5" x14ac:dyDescent="0.2">
      <c r="B1462" s="56">
        <v>1126</v>
      </c>
      <c r="C1462" s="40" t="s">
        <v>6009</v>
      </c>
      <c r="D1462" s="40" t="s">
        <v>6010</v>
      </c>
      <c r="E1462" s="41" t="s">
        <v>6011</v>
      </c>
      <c r="F1462" s="44"/>
      <c r="G1462" s="45" t="s">
        <v>6002</v>
      </c>
      <c r="H1462" s="46">
        <v>50</v>
      </c>
      <c r="I1462" s="47" t="s">
        <v>261</v>
      </c>
      <c r="J1462" s="47"/>
      <c r="K1462" s="47"/>
      <c r="L1462" s="39">
        <v>4</v>
      </c>
      <c r="M1462" s="57">
        <v>88.437500000000014</v>
      </c>
      <c r="N1462" s="15"/>
      <c r="O1462" s="47">
        <f>M1462*N1462</f>
        <v>0</v>
      </c>
      <c r="P1462" s="49">
        <f>0.13*N1462</f>
        <v>0</v>
      </c>
      <c r="Q1462" s="50">
        <f>0.00039*N1462</f>
        <v>0</v>
      </c>
      <c r="R1462" s="51"/>
      <c r="S1462" s="52" t="s">
        <v>6012</v>
      </c>
      <c r="T1462" s="52" t="s">
        <v>43</v>
      </c>
      <c r="U1462" s="40"/>
      <c r="V1462" s="40"/>
      <c r="W1462" s="40" t="s">
        <v>46</v>
      </c>
      <c r="X1462" s="40"/>
      <c r="Y1462" s="40"/>
      <c r="Z1462" s="40" t="str">
        <f>HYPERLINK("https://knigipp.ru/api/getInfo/image/010edfa0-6d0d-11eb-a26d-ac1f6b442184")</f>
        <v>https://knigipp.ru/api/getInfo/image/010edfa0-6d0d-11eb-a26d-ac1f6b442184</v>
      </c>
      <c r="AA1462" s="53">
        <v>16</v>
      </c>
      <c r="AB1462" s="40"/>
      <c r="AC1462" s="40" t="s">
        <v>96</v>
      </c>
      <c r="AD1462" s="40"/>
      <c r="AE1462" s="40" t="s">
        <v>49</v>
      </c>
      <c r="AF1462" s="40"/>
      <c r="AG1462" s="40"/>
      <c r="AH1462" s="40" t="s">
        <v>6004</v>
      </c>
      <c r="AI1462" s="54" t="s">
        <v>5299</v>
      </c>
    </row>
    <row r="1463" spans="2:35" ht="22.95" customHeight="1" outlineLevel="4" x14ac:dyDescent="0.2">
      <c r="B1463" s="75" t="s">
        <v>6013</v>
      </c>
      <c r="C1463" s="75"/>
      <c r="D1463" s="75"/>
    </row>
    <row r="1464" spans="2:35" ht="21" customHeight="1" outlineLevel="5" x14ac:dyDescent="0.2">
      <c r="B1464" s="42">
        <v>1127</v>
      </c>
      <c r="C1464" s="5" t="s">
        <v>6014</v>
      </c>
      <c r="D1464" s="5" t="s">
        <v>6015</v>
      </c>
      <c r="E1464" s="6" t="s">
        <v>6016</v>
      </c>
      <c r="F1464" s="10"/>
      <c r="G1464" s="11" t="s">
        <v>6002</v>
      </c>
      <c r="H1464" s="12">
        <v>20</v>
      </c>
      <c r="I1464" s="13" t="s">
        <v>41</v>
      </c>
      <c r="J1464" s="13"/>
      <c r="K1464" s="13"/>
      <c r="L1464" s="4">
        <v>4</v>
      </c>
      <c r="M1464" s="14">
        <f>199*(1-P3/100)</f>
        <v>199</v>
      </c>
      <c r="N1464" s="15"/>
      <c r="O1464" s="13">
        <f t="shared" ref="O1464:O1473" si="61">M1464*N1464</f>
        <v>0</v>
      </c>
      <c r="P1464" s="22">
        <f>0.135*N1464</f>
        <v>0</v>
      </c>
      <c r="Q1464" s="23">
        <f>0.00049*N1464</f>
        <v>0</v>
      </c>
      <c r="R1464" s="24"/>
      <c r="S1464" s="25" t="s">
        <v>6017</v>
      </c>
      <c r="T1464" s="25" t="s">
        <v>43</v>
      </c>
      <c r="U1464" s="5"/>
      <c r="V1464" s="5" t="s">
        <v>6018</v>
      </c>
      <c r="W1464" s="5" t="s">
        <v>46</v>
      </c>
      <c r="X1464" s="5"/>
      <c r="Y1464" s="5"/>
      <c r="Z1464" s="5" t="str">
        <f>HYPERLINK("https://knigipp.ru/api/getInfo/image/369460b8-7d23-11ed-a22a-00155d82e902")</f>
        <v>https://knigipp.ru/api/getInfo/image/369460b8-7d23-11ed-a22a-00155d82e902</v>
      </c>
      <c r="AA1464" s="33">
        <v>16</v>
      </c>
      <c r="AB1464" s="5" t="s">
        <v>47</v>
      </c>
      <c r="AC1464" s="5" t="s">
        <v>96</v>
      </c>
      <c r="AD1464" s="5"/>
      <c r="AE1464" s="5" t="s">
        <v>49</v>
      </c>
      <c r="AF1464" s="5"/>
      <c r="AG1464" s="5"/>
      <c r="AH1464" s="5" t="s">
        <v>6019</v>
      </c>
    </row>
    <row r="1465" spans="2:35" ht="21" customHeight="1" outlineLevel="5" x14ac:dyDescent="0.2">
      <c r="B1465" s="42">
        <v>1128</v>
      </c>
      <c r="C1465" s="5" t="s">
        <v>6020</v>
      </c>
      <c r="D1465" s="5" t="s">
        <v>6021</v>
      </c>
      <c r="E1465" s="6" t="s">
        <v>6022</v>
      </c>
      <c r="F1465" s="10"/>
      <c r="G1465" s="11" t="s">
        <v>6002</v>
      </c>
      <c r="H1465" s="12">
        <v>20</v>
      </c>
      <c r="I1465" s="13" t="s">
        <v>41</v>
      </c>
      <c r="J1465" s="13"/>
      <c r="K1465" s="13"/>
      <c r="L1465" s="4">
        <v>4</v>
      </c>
      <c r="M1465" s="14">
        <f>199*(1-P3/100)</f>
        <v>199</v>
      </c>
      <c r="N1465" s="15"/>
      <c r="O1465" s="13">
        <f t="shared" si="61"/>
        <v>0</v>
      </c>
      <c r="P1465" s="22">
        <f>0.163*N1465</f>
        <v>0</v>
      </c>
      <c r="Q1465" s="23">
        <f>0.00024*N1465</f>
        <v>0</v>
      </c>
      <c r="R1465" s="24"/>
      <c r="S1465" s="25" t="s">
        <v>6023</v>
      </c>
      <c r="T1465" s="25" t="s">
        <v>43</v>
      </c>
      <c r="U1465" s="5"/>
      <c r="V1465" s="5" t="s">
        <v>6024</v>
      </c>
      <c r="W1465" s="5" t="s">
        <v>46</v>
      </c>
      <c r="X1465" s="5"/>
      <c r="Y1465" s="5"/>
      <c r="Z1465" s="5" t="str">
        <f>HYPERLINK("https://knigipp.ru/api/getInfo/image/735d931c-7d23-11ed-a22a-00155d82e902")</f>
        <v>https://knigipp.ru/api/getInfo/image/735d931c-7d23-11ed-a22a-00155d82e902</v>
      </c>
      <c r="AA1465" s="33">
        <v>16</v>
      </c>
      <c r="AB1465" s="5" t="s">
        <v>47</v>
      </c>
      <c r="AC1465" s="5" t="s">
        <v>96</v>
      </c>
      <c r="AD1465" s="5"/>
      <c r="AE1465" s="5" t="s">
        <v>49</v>
      </c>
      <c r="AF1465" s="5"/>
      <c r="AG1465" s="5"/>
      <c r="AH1465" s="5" t="s">
        <v>6019</v>
      </c>
    </row>
    <row r="1466" spans="2:35" ht="21" customHeight="1" outlineLevel="5" x14ac:dyDescent="0.2">
      <c r="B1466" s="42">
        <v>1129</v>
      </c>
      <c r="C1466" s="5" t="s">
        <v>6025</v>
      </c>
      <c r="D1466" s="5" t="s">
        <v>6000</v>
      </c>
      <c r="E1466" s="6" t="s">
        <v>6026</v>
      </c>
      <c r="F1466" s="10"/>
      <c r="G1466" s="11" t="s">
        <v>6002</v>
      </c>
      <c r="H1466" s="12">
        <v>20</v>
      </c>
      <c r="I1466" s="13" t="s">
        <v>41</v>
      </c>
      <c r="J1466" s="13"/>
      <c r="K1466" s="13"/>
      <c r="L1466" s="4">
        <v>4</v>
      </c>
      <c r="M1466" s="14">
        <f>199*(1-P3/100)</f>
        <v>199</v>
      </c>
      <c r="N1466" s="15"/>
      <c r="O1466" s="13">
        <f t="shared" si="61"/>
        <v>0</v>
      </c>
      <c r="P1466" s="22">
        <f>0.134*N1466</f>
        <v>0</v>
      </c>
      <c r="Q1466" s="23">
        <f>0.00074*N1466</f>
        <v>0</v>
      </c>
      <c r="R1466" s="24"/>
      <c r="S1466" s="25" t="s">
        <v>6027</v>
      </c>
      <c r="T1466" s="25" t="s">
        <v>43</v>
      </c>
      <c r="U1466" s="5"/>
      <c r="V1466" s="5" t="s">
        <v>6028</v>
      </c>
      <c r="W1466" s="5" t="s">
        <v>46</v>
      </c>
      <c r="X1466" s="5"/>
      <c r="Y1466" s="5"/>
      <c r="Z1466" s="5" t="str">
        <f>HYPERLINK("https://knigipp.ru/api/getInfo/image/d8cba3a0-7d37-11ed-a22a-00155d82e902")</f>
        <v>https://knigipp.ru/api/getInfo/image/d8cba3a0-7d37-11ed-a22a-00155d82e902</v>
      </c>
      <c r="AA1466" s="33">
        <v>16</v>
      </c>
      <c r="AB1466" s="5" t="s">
        <v>47</v>
      </c>
      <c r="AC1466" s="5" t="s">
        <v>96</v>
      </c>
      <c r="AD1466" s="5"/>
      <c r="AE1466" s="5" t="s">
        <v>49</v>
      </c>
      <c r="AF1466" s="5"/>
      <c r="AG1466" s="5"/>
      <c r="AH1466" s="5" t="s">
        <v>6019</v>
      </c>
    </row>
    <row r="1467" spans="2:35" ht="21" customHeight="1" outlineLevel="5" x14ac:dyDescent="0.2">
      <c r="B1467" s="42">
        <v>1130</v>
      </c>
      <c r="C1467" s="5" t="s">
        <v>6029</v>
      </c>
      <c r="D1467" s="5" t="s">
        <v>6006</v>
      </c>
      <c r="E1467" s="6" t="s">
        <v>6030</v>
      </c>
      <c r="F1467" s="10"/>
      <c r="G1467" s="11" t="s">
        <v>6002</v>
      </c>
      <c r="H1467" s="12">
        <v>20</v>
      </c>
      <c r="I1467" s="13" t="s">
        <v>41</v>
      </c>
      <c r="J1467" s="13"/>
      <c r="K1467" s="13"/>
      <c r="L1467" s="4">
        <v>4</v>
      </c>
      <c r="M1467" s="14">
        <f>199*(1-P3/100)</f>
        <v>199</v>
      </c>
      <c r="N1467" s="15"/>
      <c r="O1467" s="13">
        <f t="shared" si="61"/>
        <v>0</v>
      </c>
      <c r="P1467" s="22">
        <f>0.134*N1467</f>
        <v>0</v>
      </c>
      <c r="Q1467" s="23">
        <f>0.00024*N1467</f>
        <v>0</v>
      </c>
      <c r="R1467" s="24"/>
      <c r="S1467" s="25" t="s">
        <v>6031</v>
      </c>
      <c r="T1467" s="25" t="s">
        <v>43</v>
      </c>
      <c r="U1467" s="5"/>
      <c r="V1467" s="5"/>
      <c r="W1467" s="5" t="s">
        <v>46</v>
      </c>
      <c r="X1467" s="5"/>
      <c r="Y1467" s="5"/>
      <c r="Z1467" s="5" t="str">
        <f>HYPERLINK("https://knigipp.ru/api/getInfo/image/0a316d9e-7d38-11ed-a22a-00155d82e902")</f>
        <v>https://knigipp.ru/api/getInfo/image/0a316d9e-7d38-11ed-a22a-00155d82e902</v>
      </c>
      <c r="AA1467" s="33">
        <v>16</v>
      </c>
      <c r="AB1467" s="5" t="s">
        <v>47</v>
      </c>
      <c r="AC1467" s="5" t="s">
        <v>96</v>
      </c>
      <c r="AD1467" s="5"/>
      <c r="AE1467" s="5" t="s">
        <v>49</v>
      </c>
      <c r="AF1467" s="5"/>
      <c r="AG1467" s="5"/>
      <c r="AH1467" s="5" t="s">
        <v>6019</v>
      </c>
    </row>
    <row r="1468" spans="2:35" ht="21" customHeight="1" outlineLevel="5" x14ac:dyDescent="0.2">
      <c r="B1468" s="42">
        <v>1131</v>
      </c>
      <c r="C1468" s="5" t="s">
        <v>6032</v>
      </c>
      <c r="D1468" s="5" t="s">
        <v>6010</v>
      </c>
      <c r="E1468" s="6" t="s">
        <v>6033</v>
      </c>
      <c r="F1468" s="10"/>
      <c r="G1468" s="11" t="s">
        <v>6002</v>
      </c>
      <c r="H1468" s="12">
        <v>20</v>
      </c>
      <c r="I1468" s="13" t="s">
        <v>41</v>
      </c>
      <c r="J1468" s="13"/>
      <c r="K1468" s="13"/>
      <c r="L1468" s="4">
        <v>4</v>
      </c>
      <c r="M1468" s="14">
        <f>199*(1-P3/100)</f>
        <v>199</v>
      </c>
      <c r="N1468" s="15"/>
      <c r="O1468" s="13">
        <f t="shared" si="61"/>
        <v>0</v>
      </c>
      <c r="P1468" s="22">
        <f>0.163*N1468</f>
        <v>0</v>
      </c>
      <c r="Q1468" s="23">
        <f>0.00024*N1468</f>
        <v>0</v>
      </c>
      <c r="R1468" s="24"/>
      <c r="S1468" s="25" t="s">
        <v>6034</v>
      </c>
      <c r="T1468" s="25" t="s">
        <v>43</v>
      </c>
      <c r="U1468" s="5"/>
      <c r="V1468" s="5" t="s">
        <v>6035</v>
      </c>
      <c r="W1468" s="5" t="s">
        <v>46</v>
      </c>
      <c r="X1468" s="5"/>
      <c r="Y1468" s="5"/>
      <c r="Z1468" s="5" t="str">
        <f>HYPERLINK("https://knigipp.ru/api/getInfo/image/3d4def30-7d38-11ed-a22a-00155d82e902")</f>
        <v>https://knigipp.ru/api/getInfo/image/3d4def30-7d38-11ed-a22a-00155d82e902</v>
      </c>
      <c r="AA1468" s="33">
        <v>16</v>
      </c>
      <c r="AB1468" s="5" t="s">
        <v>47</v>
      </c>
      <c r="AC1468" s="5" t="s">
        <v>96</v>
      </c>
      <c r="AD1468" s="5"/>
      <c r="AE1468" s="5" t="s">
        <v>49</v>
      </c>
      <c r="AF1468" s="5"/>
      <c r="AG1468" s="5"/>
      <c r="AH1468" s="5" t="s">
        <v>6019</v>
      </c>
    </row>
    <row r="1469" spans="2:35" ht="21" customHeight="1" outlineLevel="5" x14ac:dyDescent="0.2">
      <c r="B1469" s="42">
        <v>1132</v>
      </c>
      <c r="C1469" s="5" t="s">
        <v>6036</v>
      </c>
      <c r="D1469" s="5" t="s">
        <v>6037</v>
      </c>
      <c r="E1469" s="6" t="s">
        <v>6038</v>
      </c>
      <c r="F1469" s="10"/>
      <c r="G1469" s="11" t="s">
        <v>6002</v>
      </c>
      <c r="H1469" s="12">
        <v>20</v>
      </c>
      <c r="I1469" s="13" t="s">
        <v>41</v>
      </c>
      <c r="J1469" s="13"/>
      <c r="K1469" s="13"/>
      <c r="L1469" s="4">
        <v>4</v>
      </c>
      <c r="M1469" s="14">
        <f>199*(1-P3/100)</f>
        <v>199</v>
      </c>
      <c r="N1469" s="15"/>
      <c r="O1469" s="13">
        <f t="shared" si="61"/>
        <v>0</v>
      </c>
      <c r="P1469" s="22">
        <f>0.147*N1469</f>
        <v>0</v>
      </c>
      <c r="Q1469" s="23">
        <f>0.00041*N1469</f>
        <v>0</v>
      </c>
      <c r="R1469" s="24"/>
      <c r="S1469" s="25" t="s">
        <v>6039</v>
      </c>
      <c r="T1469" s="25" t="s">
        <v>43</v>
      </c>
      <c r="U1469" s="5"/>
      <c r="V1469" s="5" t="s">
        <v>6040</v>
      </c>
      <c r="W1469" s="5" t="s">
        <v>46</v>
      </c>
      <c r="X1469" s="5"/>
      <c r="Y1469" s="5"/>
      <c r="Z1469" s="5" t="str">
        <f>HYPERLINK("https://knigipp.ru/api/getInfo/image/5ed50d33-7d38-11ed-a22a-00155d82e902")</f>
        <v>https://knigipp.ru/api/getInfo/image/5ed50d33-7d38-11ed-a22a-00155d82e902</v>
      </c>
      <c r="AA1469" s="33">
        <v>16</v>
      </c>
      <c r="AB1469" s="5" t="s">
        <v>47</v>
      </c>
      <c r="AC1469" s="5" t="s">
        <v>96</v>
      </c>
      <c r="AD1469" s="5"/>
      <c r="AE1469" s="5" t="s">
        <v>49</v>
      </c>
      <c r="AF1469" s="5"/>
      <c r="AG1469" s="5"/>
      <c r="AH1469" s="5" t="s">
        <v>6019</v>
      </c>
    </row>
    <row r="1470" spans="2:35" ht="21" customHeight="1" outlineLevel="5" x14ac:dyDescent="0.2">
      <c r="B1470" s="42">
        <v>1133</v>
      </c>
      <c r="C1470" s="5" t="s">
        <v>6041</v>
      </c>
      <c r="D1470" s="5" t="s">
        <v>6042</v>
      </c>
      <c r="E1470" s="6" t="s">
        <v>6043</v>
      </c>
      <c r="F1470" s="10"/>
      <c r="G1470" s="11" t="s">
        <v>6044</v>
      </c>
      <c r="H1470" s="12">
        <v>20</v>
      </c>
      <c r="I1470" s="13" t="s">
        <v>261</v>
      </c>
      <c r="J1470" s="13"/>
      <c r="K1470" s="13"/>
      <c r="L1470" s="4">
        <v>4</v>
      </c>
      <c r="M1470" s="14">
        <f>199*(1-P3/100)</f>
        <v>199</v>
      </c>
      <c r="N1470" s="15"/>
      <c r="O1470" s="13">
        <f t="shared" si="61"/>
        <v>0</v>
      </c>
      <c r="P1470" s="13">
        <v>0</v>
      </c>
      <c r="Q1470" s="13">
        <v>0</v>
      </c>
      <c r="R1470" s="24"/>
      <c r="S1470" s="25" t="s">
        <v>6045</v>
      </c>
      <c r="T1470" s="25" t="s">
        <v>43</v>
      </c>
      <c r="U1470" s="5"/>
      <c r="V1470" s="5"/>
      <c r="W1470" s="5" t="s">
        <v>46</v>
      </c>
      <c r="X1470" s="5"/>
      <c r="Y1470" s="5"/>
      <c r="Z1470" s="5" t="str">
        <f>HYPERLINK("https://knigipp.ru/api/getInfo/image/cd11867a-e5e7-11ee-a25a-00155d82e908")</f>
        <v>https://knigipp.ru/api/getInfo/image/cd11867a-e5e7-11ee-a25a-00155d82e908</v>
      </c>
      <c r="AA1470" s="33">
        <v>16</v>
      </c>
      <c r="AB1470" s="5" t="s">
        <v>47</v>
      </c>
      <c r="AC1470" s="5" t="s">
        <v>96</v>
      </c>
      <c r="AD1470" s="5"/>
      <c r="AE1470" s="5" t="s">
        <v>49</v>
      </c>
      <c r="AF1470" s="5"/>
      <c r="AG1470" s="5"/>
      <c r="AH1470" s="5" t="s">
        <v>6019</v>
      </c>
    </row>
    <row r="1471" spans="2:35" ht="21" customHeight="1" outlineLevel="5" x14ac:dyDescent="0.2">
      <c r="B1471" s="42">
        <v>1134</v>
      </c>
      <c r="C1471" s="5" t="s">
        <v>6046</v>
      </c>
      <c r="D1471" s="5" t="s">
        <v>6047</v>
      </c>
      <c r="E1471" s="6" t="s">
        <v>6048</v>
      </c>
      <c r="F1471" s="10"/>
      <c r="G1471" s="11" t="s">
        <v>6002</v>
      </c>
      <c r="H1471" s="12">
        <v>20</v>
      </c>
      <c r="I1471" s="13" t="s">
        <v>41</v>
      </c>
      <c r="J1471" s="13"/>
      <c r="K1471" s="13"/>
      <c r="L1471" s="4">
        <v>4</v>
      </c>
      <c r="M1471" s="14">
        <f>199*(1-P3/100)</f>
        <v>199</v>
      </c>
      <c r="N1471" s="15"/>
      <c r="O1471" s="13">
        <f t="shared" si="61"/>
        <v>0</v>
      </c>
      <c r="P1471" s="22">
        <f>0.133*N1471</f>
        <v>0</v>
      </c>
      <c r="Q1471" s="23">
        <f>0.00041*N1471</f>
        <v>0</v>
      </c>
      <c r="R1471" s="24"/>
      <c r="S1471" s="25" t="s">
        <v>6049</v>
      </c>
      <c r="T1471" s="25" t="s">
        <v>43</v>
      </c>
      <c r="U1471" s="5"/>
      <c r="V1471" s="5" t="s">
        <v>6050</v>
      </c>
      <c r="W1471" s="5" t="s">
        <v>46</v>
      </c>
      <c r="X1471" s="5"/>
      <c r="Y1471" s="5"/>
      <c r="Z1471" s="5" t="str">
        <f>HYPERLINK("https://knigipp.ru/api/getInfo/image/e41ec89d-7d22-11ed-a22a-00155d82e902")</f>
        <v>https://knigipp.ru/api/getInfo/image/e41ec89d-7d22-11ed-a22a-00155d82e902</v>
      </c>
      <c r="AA1471" s="33">
        <v>16</v>
      </c>
      <c r="AB1471" s="5" t="s">
        <v>47</v>
      </c>
      <c r="AC1471" s="5" t="s">
        <v>96</v>
      </c>
      <c r="AD1471" s="5"/>
      <c r="AE1471" s="5" t="s">
        <v>49</v>
      </c>
      <c r="AF1471" s="5"/>
      <c r="AG1471" s="5"/>
      <c r="AH1471" s="5" t="s">
        <v>6019</v>
      </c>
    </row>
    <row r="1472" spans="2:35" ht="21" customHeight="1" outlineLevel="5" x14ac:dyDescent="0.2">
      <c r="B1472" s="42">
        <v>1135</v>
      </c>
      <c r="C1472" s="5" t="s">
        <v>6051</v>
      </c>
      <c r="D1472" s="5" t="s">
        <v>6052</v>
      </c>
      <c r="E1472" s="6" t="s">
        <v>6053</v>
      </c>
      <c r="F1472" s="10"/>
      <c r="G1472" s="11" t="s">
        <v>6054</v>
      </c>
      <c r="H1472" s="12">
        <v>20</v>
      </c>
      <c r="I1472" s="13" t="s">
        <v>371</v>
      </c>
      <c r="J1472" s="13"/>
      <c r="K1472" s="13"/>
      <c r="L1472" s="4">
        <v>4</v>
      </c>
      <c r="M1472" s="14">
        <f>199*(1-P3/100)</f>
        <v>199</v>
      </c>
      <c r="N1472" s="15"/>
      <c r="O1472" s="13">
        <f t="shared" si="61"/>
        <v>0</v>
      </c>
      <c r="P1472" s="13">
        <v>0</v>
      </c>
      <c r="Q1472" s="13">
        <v>0</v>
      </c>
      <c r="R1472" s="24"/>
      <c r="S1472" s="25" t="s">
        <v>6055</v>
      </c>
      <c r="T1472" s="25" t="s">
        <v>43</v>
      </c>
      <c r="U1472" s="5"/>
      <c r="V1472" s="5" t="s">
        <v>6056</v>
      </c>
      <c r="W1472" s="5" t="s">
        <v>46</v>
      </c>
      <c r="X1472" s="5"/>
      <c r="Y1472" s="5"/>
      <c r="Z1472" s="5" t="str">
        <f>HYPERLINK("https://knigipp.ru/api/getInfo/image/0f3b1896-7f3c-11ef-a265-00155d82e908")</f>
        <v>https://knigipp.ru/api/getInfo/image/0f3b1896-7f3c-11ef-a265-00155d82e908</v>
      </c>
      <c r="AA1472" s="33">
        <v>16</v>
      </c>
      <c r="AB1472" s="5" t="s">
        <v>47</v>
      </c>
      <c r="AC1472" s="5" t="s">
        <v>96</v>
      </c>
      <c r="AD1472" s="5"/>
      <c r="AE1472" s="5" t="s">
        <v>49</v>
      </c>
      <c r="AF1472" s="5"/>
      <c r="AG1472" s="5"/>
      <c r="AH1472" s="5" t="s">
        <v>6019</v>
      </c>
    </row>
    <row r="1473" spans="2:34" ht="21" customHeight="1" outlineLevel="5" x14ac:dyDescent="0.2">
      <c r="B1473" s="42">
        <v>1136</v>
      </c>
      <c r="C1473" s="5" t="s">
        <v>6057</v>
      </c>
      <c r="D1473" s="5" t="s">
        <v>6058</v>
      </c>
      <c r="E1473" s="6" t="s">
        <v>6059</v>
      </c>
      <c r="F1473" s="10"/>
      <c r="G1473" s="11" t="s">
        <v>442</v>
      </c>
      <c r="H1473" s="12">
        <v>20</v>
      </c>
      <c r="I1473" s="13" t="s">
        <v>41</v>
      </c>
      <c r="J1473" s="13"/>
      <c r="K1473" s="13"/>
      <c r="L1473" s="4">
        <v>4</v>
      </c>
      <c r="M1473" s="14">
        <f>199*(1-P3/100)</f>
        <v>199</v>
      </c>
      <c r="N1473" s="15"/>
      <c r="O1473" s="13">
        <f t="shared" si="61"/>
        <v>0</v>
      </c>
      <c r="P1473" s="22">
        <f>0.131*N1473</f>
        <v>0</v>
      </c>
      <c r="Q1473" s="23">
        <f>0.00024*N1473</f>
        <v>0</v>
      </c>
      <c r="R1473" s="24"/>
      <c r="S1473" s="25" t="s">
        <v>6060</v>
      </c>
      <c r="T1473" s="25" t="s">
        <v>43</v>
      </c>
      <c r="U1473" s="5"/>
      <c r="V1473" s="5" t="s">
        <v>6061</v>
      </c>
      <c r="W1473" s="5" t="s">
        <v>46</v>
      </c>
      <c r="X1473" s="5"/>
      <c r="Y1473" s="5"/>
      <c r="Z1473" s="5" t="str">
        <f>HYPERLINK("https://knigipp.ru/api/getInfo/image/d550f11e-dfdb-11ef-a273-00155d82e908")</f>
        <v>https://knigipp.ru/api/getInfo/image/d550f11e-dfdb-11ef-a273-00155d82e908</v>
      </c>
      <c r="AA1473" s="33">
        <v>16</v>
      </c>
      <c r="AB1473" s="5" t="s">
        <v>47</v>
      </c>
      <c r="AC1473" s="5" t="s">
        <v>96</v>
      </c>
      <c r="AD1473" s="5"/>
      <c r="AE1473" s="5" t="s">
        <v>49</v>
      </c>
      <c r="AF1473" s="5"/>
      <c r="AG1473" s="5"/>
      <c r="AH1473" s="5" t="s">
        <v>6019</v>
      </c>
    </row>
    <row r="1474" spans="2:34" ht="22.95" customHeight="1" outlineLevel="4" x14ac:dyDescent="0.2">
      <c r="B1474" s="75" t="s">
        <v>6062</v>
      </c>
      <c r="C1474" s="75"/>
      <c r="D1474" s="75"/>
    </row>
    <row r="1475" spans="2:34" ht="21" customHeight="1" outlineLevel="5" x14ac:dyDescent="0.2">
      <c r="B1475" s="42">
        <v>1137</v>
      </c>
      <c r="C1475" s="5" t="s">
        <v>6063</v>
      </c>
      <c r="D1475" s="5" t="s">
        <v>6064</v>
      </c>
      <c r="E1475" s="6" t="s">
        <v>6065</v>
      </c>
      <c r="F1475" s="10"/>
      <c r="G1475" s="11" t="s">
        <v>6066</v>
      </c>
      <c r="H1475" s="12">
        <v>30</v>
      </c>
      <c r="I1475" s="13" t="s">
        <v>371</v>
      </c>
      <c r="J1475" s="13"/>
      <c r="K1475" s="13"/>
      <c r="L1475" s="4">
        <v>10</v>
      </c>
      <c r="M1475" s="14">
        <f>95*(1-P3/100)</f>
        <v>95</v>
      </c>
      <c r="N1475" s="15"/>
      <c r="O1475" s="13">
        <f t="shared" ref="O1475:O1481" si="62">M1475*N1475</f>
        <v>0</v>
      </c>
      <c r="P1475" s="22">
        <f>0.035*N1475</f>
        <v>0</v>
      </c>
      <c r="Q1475" s="23">
        <f>0.00003*N1475</f>
        <v>0</v>
      </c>
      <c r="R1475" s="24"/>
      <c r="S1475" s="25" t="s">
        <v>6067</v>
      </c>
      <c r="T1475" s="25" t="s">
        <v>43</v>
      </c>
      <c r="U1475" s="5"/>
      <c r="V1475" s="5"/>
      <c r="W1475" s="5" t="s">
        <v>46</v>
      </c>
      <c r="X1475" s="5"/>
      <c r="Y1475" s="5"/>
      <c r="Z1475" s="5" t="str">
        <f>HYPERLINK("https://knigipp.ru/api/getInfo/image/54611d4f-c101-11ee-a25a-00155d82e908")</f>
        <v>https://knigipp.ru/api/getInfo/image/54611d4f-c101-11ee-a25a-00155d82e908</v>
      </c>
      <c r="AA1475" s="33">
        <v>12</v>
      </c>
      <c r="AB1475" s="5"/>
      <c r="AC1475" s="5" t="s">
        <v>96</v>
      </c>
      <c r="AD1475" s="5"/>
      <c r="AE1475" s="5" t="s">
        <v>49</v>
      </c>
      <c r="AF1475" s="5"/>
      <c r="AG1475" s="5"/>
      <c r="AH1475" s="5" t="s">
        <v>5692</v>
      </c>
    </row>
    <row r="1476" spans="2:34" ht="21" customHeight="1" outlineLevel="5" x14ac:dyDescent="0.2">
      <c r="B1476" s="42">
        <v>1138</v>
      </c>
      <c r="C1476" s="5" t="s">
        <v>6068</v>
      </c>
      <c r="D1476" s="5" t="s">
        <v>6069</v>
      </c>
      <c r="E1476" s="6" t="s">
        <v>6070</v>
      </c>
      <c r="F1476" s="10"/>
      <c r="G1476" s="11" t="s">
        <v>6066</v>
      </c>
      <c r="H1476" s="12">
        <v>30</v>
      </c>
      <c r="I1476" s="13" t="s">
        <v>41</v>
      </c>
      <c r="J1476" s="13"/>
      <c r="K1476" s="13"/>
      <c r="L1476" s="4">
        <v>10</v>
      </c>
      <c r="M1476" s="14">
        <f>95*(1-P3/100)</f>
        <v>95</v>
      </c>
      <c r="N1476" s="15"/>
      <c r="O1476" s="13">
        <f t="shared" si="62"/>
        <v>0</v>
      </c>
      <c r="P1476" s="22">
        <f>0.034*N1476</f>
        <v>0</v>
      </c>
      <c r="Q1476" s="23">
        <f>0.00009*N1476</f>
        <v>0</v>
      </c>
      <c r="R1476" s="24"/>
      <c r="S1476" s="25" t="s">
        <v>6071</v>
      </c>
      <c r="T1476" s="25" t="s">
        <v>43</v>
      </c>
      <c r="U1476" s="5"/>
      <c r="V1476" s="5"/>
      <c r="W1476" s="5" t="s">
        <v>46</v>
      </c>
      <c r="X1476" s="5"/>
      <c r="Y1476" s="5"/>
      <c r="Z1476" s="5" t="str">
        <f>HYPERLINK("https://knigipp.ru/api/getInfo/image/8d716b90-0658-11f0-a277-00155d82e908")</f>
        <v>https://knigipp.ru/api/getInfo/image/8d716b90-0658-11f0-a277-00155d82e908</v>
      </c>
      <c r="AA1476" s="33">
        <v>12</v>
      </c>
      <c r="AB1476" s="5"/>
      <c r="AC1476" s="5" t="s">
        <v>96</v>
      </c>
      <c r="AD1476" s="5"/>
      <c r="AE1476" s="5" t="s">
        <v>49</v>
      </c>
      <c r="AF1476" s="5"/>
      <c r="AG1476" s="5"/>
      <c r="AH1476" s="5" t="s">
        <v>5692</v>
      </c>
    </row>
    <row r="1477" spans="2:34" ht="21" customHeight="1" outlineLevel="5" x14ac:dyDescent="0.2">
      <c r="B1477" s="42">
        <v>1139</v>
      </c>
      <c r="C1477" s="5" t="s">
        <v>6072</v>
      </c>
      <c r="D1477" s="5" t="s">
        <v>6073</v>
      </c>
      <c r="E1477" s="6" t="s">
        <v>6074</v>
      </c>
      <c r="F1477" s="10"/>
      <c r="G1477" s="11" t="s">
        <v>6066</v>
      </c>
      <c r="H1477" s="12">
        <v>30</v>
      </c>
      <c r="I1477" s="13" t="s">
        <v>41</v>
      </c>
      <c r="J1477" s="13"/>
      <c r="K1477" s="13"/>
      <c r="L1477" s="4">
        <v>10</v>
      </c>
      <c r="M1477" s="14">
        <f>95*(1-P3/100)</f>
        <v>95</v>
      </c>
      <c r="N1477" s="15"/>
      <c r="O1477" s="13">
        <f t="shared" si="62"/>
        <v>0</v>
      </c>
      <c r="P1477" s="22">
        <f>0.034*N1477</f>
        <v>0</v>
      </c>
      <c r="Q1477" s="23">
        <f>0.00009*N1477</f>
        <v>0</v>
      </c>
      <c r="R1477" s="24"/>
      <c r="S1477" s="25" t="s">
        <v>6075</v>
      </c>
      <c r="T1477" s="25" t="s">
        <v>43</v>
      </c>
      <c r="U1477" s="5"/>
      <c r="V1477" s="5"/>
      <c r="W1477" s="5" t="s">
        <v>46</v>
      </c>
      <c r="X1477" s="5"/>
      <c r="Y1477" s="5"/>
      <c r="Z1477" s="5" t="str">
        <f>HYPERLINK("https://knigipp.ru/api/getInfo/image/d865c716-0658-11f0-a277-00155d82e908")</f>
        <v>https://knigipp.ru/api/getInfo/image/d865c716-0658-11f0-a277-00155d82e908</v>
      </c>
      <c r="AA1477" s="33">
        <v>12</v>
      </c>
      <c r="AB1477" s="5"/>
      <c r="AC1477" s="5" t="s">
        <v>96</v>
      </c>
      <c r="AD1477" s="5"/>
      <c r="AE1477" s="5" t="s">
        <v>49</v>
      </c>
      <c r="AF1477" s="5"/>
      <c r="AG1477" s="5"/>
      <c r="AH1477" s="5" t="s">
        <v>5692</v>
      </c>
    </row>
    <row r="1478" spans="2:34" ht="21" customHeight="1" outlineLevel="5" x14ac:dyDescent="0.2">
      <c r="B1478" s="42">
        <v>1140</v>
      </c>
      <c r="C1478" s="5" t="s">
        <v>6076</v>
      </c>
      <c r="D1478" s="5" t="s">
        <v>6077</v>
      </c>
      <c r="E1478" s="6" t="s">
        <v>6078</v>
      </c>
      <c r="F1478" s="10"/>
      <c r="G1478" s="11" t="s">
        <v>6066</v>
      </c>
      <c r="H1478" s="12">
        <v>30</v>
      </c>
      <c r="I1478" s="13" t="s">
        <v>41</v>
      </c>
      <c r="J1478" s="13"/>
      <c r="K1478" s="13"/>
      <c r="L1478" s="4">
        <v>10</v>
      </c>
      <c r="M1478" s="14">
        <f>95*(1-P3/100)</f>
        <v>95</v>
      </c>
      <c r="N1478" s="15"/>
      <c r="O1478" s="13">
        <f t="shared" si="62"/>
        <v>0</v>
      </c>
      <c r="P1478" s="22">
        <f>0.036*N1478</f>
        <v>0</v>
      </c>
      <c r="Q1478" s="23">
        <f>0.00012*N1478</f>
        <v>0</v>
      </c>
      <c r="R1478" s="24"/>
      <c r="S1478" s="25" t="s">
        <v>6079</v>
      </c>
      <c r="T1478" s="25" t="s">
        <v>43</v>
      </c>
      <c r="U1478" s="5"/>
      <c r="V1478" s="5"/>
      <c r="W1478" s="5" t="s">
        <v>46</v>
      </c>
      <c r="X1478" s="5"/>
      <c r="Y1478" s="5"/>
      <c r="Z1478" s="5" t="str">
        <f>HYPERLINK("https://knigipp.ru/api/getInfo/image/bc31f9c0-c101-11ee-a25a-00155d82e908")</f>
        <v>https://knigipp.ru/api/getInfo/image/bc31f9c0-c101-11ee-a25a-00155d82e908</v>
      </c>
      <c r="AA1478" s="33">
        <v>12</v>
      </c>
      <c r="AB1478" s="5"/>
      <c r="AC1478" s="5" t="s">
        <v>96</v>
      </c>
      <c r="AD1478" s="5"/>
      <c r="AE1478" s="5" t="s">
        <v>49</v>
      </c>
      <c r="AF1478" s="5"/>
      <c r="AG1478" s="5"/>
      <c r="AH1478" s="5" t="s">
        <v>5692</v>
      </c>
    </row>
    <row r="1479" spans="2:34" ht="21" customHeight="1" outlineLevel="5" x14ac:dyDescent="0.2">
      <c r="B1479" s="42">
        <v>1141</v>
      </c>
      <c r="C1479" s="5" t="s">
        <v>6080</v>
      </c>
      <c r="D1479" s="5" t="s">
        <v>6081</v>
      </c>
      <c r="E1479" s="6" t="s">
        <v>6082</v>
      </c>
      <c r="F1479" s="10"/>
      <c r="G1479" s="11" t="s">
        <v>6066</v>
      </c>
      <c r="H1479" s="12">
        <v>30</v>
      </c>
      <c r="I1479" s="13" t="s">
        <v>41</v>
      </c>
      <c r="J1479" s="13"/>
      <c r="K1479" s="13"/>
      <c r="L1479" s="4">
        <v>10</v>
      </c>
      <c r="M1479" s="14">
        <f>95*(1-P3/100)</f>
        <v>95</v>
      </c>
      <c r="N1479" s="15"/>
      <c r="O1479" s="13">
        <f t="shared" si="62"/>
        <v>0</v>
      </c>
      <c r="P1479" s="22">
        <f>0.036*N1479</f>
        <v>0</v>
      </c>
      <c r="Q1479" s="23">
        <f>0.00009*N1479</f>
        <v>0</v>
      </c>
      <c r="R1479" s="24"/>
      <c r="S1479" s="25" t="s">
        <v>6083</v>
      </c>
      <c r="T1479" s="25" t="s">
        <v>43</v>
      </c>
      <c r="U1479" s="5"/>
      <c r="V1479" s="5"/>
      <c r="W1479" s="5" t="s">
        <v>46</v>
      </c>
      <c r="X1479" s="5"/>
      <c r="Y1479" s="5"/>
      <c r="Z1479" s="5" t="str">
        <f>HYPERLINK("https://knigipp.ru/api/getInfo/image/6bda28f8-0658-11f0-a277-00155d82e908")</f>
        <v>https://knigipp.ru/api/getInfo/image/6bda28f8-0658-11f0-a277-00155d82e908</v>
      </c>
      <c r="AA1479" s="33">
        <v>12</v>
      </c>
      <c r="AB1479" s="5"/>
      <c r="AC1479" s="5" t="s">
        <v>96</v>
      </c>
      <c r="AD1479" s="5"/>
      <c r="AE1479" s="5" t="s">
        <v>49</v>
      </c>
      <c r="AF1479" s="5"/>
      <c r="AG1479" s="5"/>
      <c r="AH1479" s="5" t="s">
        <v>5692</v>
      </c>
    </row>
    <row r="1480" spans="2:34" ht="21" customHeight="1" outlineLevel="5" x14ac:dyDescent="0.2">
      <c r="B1480" s="42">
        <v>1142</v>
      </c>
      <c r="C1480" s="5" t="s">
        <v>6084</v>
      </c>
      <c r="D1480" s="5" t="s">
        <v>6085</v>
      </c>
      <c r="E1480" s="6" t="s">
        <v>6086</v>
      </c>
      <c r="F1480" s="10"/>
      <c r="G1480" s="11" t="s">
        <v>6066</v>
      </c>
      <c r="H1480" s="12">
        <v>30</v>
      </c>
      <c r="I1480" s="13" t="s">
        <v>371</v>
      </c>
      <c r="J1480" s="13"/>
      <c r="K1480" s="13"/>
      <c r="L1480" s="4">
        <v>10</v>
      </c>
      <c r="M1480" s="14">
        <f>95*(1-P3/100)</f>
        <v>95</v>
      </c>
      <c r="N1480" s="15"/>
      <c r="O1480" s="13">
        <f t="shared" si="62"/>
        <v>0</v>
      </c>
      <c r="P1480" s="22">
        <f>0.033*N1480</f>
        <v>0</v>
      </c>
      <c r="Q1480" s="23">
        <f>0.00003*N1480</f>
        <v>0</v>
      </c>
      <c r="R1480" s="24"/>
      <c r="S1480" s="25" t="s">
        <v>6087</v>
      </c>
      <c r="T1480" s="25" t="s">
        <v>43</v>
      </c>
      <c r="U1480" s="5"/>
      <c r="V1480" s="5"/>
      <c r="W1480" s="5" t="s">
        <v>46</v>
      </c>
      <c r="X1480" s="5"/>
      <c r="Y1480" s="5"/>
      <c r="Z1480" s="5" t="str">
        <f>HYPERLINK("https://knigipp.ru/api/getInfo/image/9cdfdb47-c101-11ee-a25a-00155d82e908")</f>
        <v>https://knigipp.ru/api/getInfo/image/9cdfdb47-c101-11ee-a25a-00155d82e908</v>
      </c>
      <c r="AA1480" s="33">
        <v>12</v>
      </c>
      <c r="AB1480" s="5"/>
      <c r="AC1480" s="5" t="s">
        <v>96</v>
      </c>
      <c r="AD1480" s="5"/>
      <c r="AE1480" s="5" t="s">
        <v>49</v>
      </c>
      <c r="AF1480" s="5"/>
      <c r="AG1480" s="5"/>
      <c r="AH1480" s="5" t="s">
        <v>5692</v>
      </c>
    </row>
    <row r="1481" spans="2:34" ht="21" customHeight="1" outlineLevel="5" x14ac:dyDescent="0.2">
      <c r="B1481" s="42">
        <v>1143</v>
      </c>
      <c r="C1481" s="5" t="s">
        <v>6088</v>
      </c>
      <c r="D1481" s="5" t="s">
        <v>6089</v>
      </c>
      <c r="E1481" s="6" t="s">
        <v>6090</v>
      </c>
      <c r="F1481" s="10"/>
      <c r="G1481" s="11" t="s">
        <v>6066</v>
      </c>
      <c r="H1481" s="12">
        <v>30</v>
      </c>
      <c r="I1481" s="13" t="s">
        <v>41</v>
      </c>
      <c r="J1481" s="13"/>
      <c r="K1481" s="13"/>
      <c r="L1481" s="4">
        <v>10</v>
      </c>
      <c r="M1481" s="14">
        <f>95*(1-P3/100)</f>
        <v>95</v>
      </c>
      <c r="N1481" s="15"/>
      <c r="O1481" s="13">
        <f t="shared" si="62"/>
        <v>0</v>
      </c>
      <c r="P1481" s="22">
        <f>0.035*N1481</f>
        <v>0</v>
      </c>
      <c r="Q1481" s="23">
        <f>0.00003*N1481</f>
        <v>0</v>
      </c>
      <c r="R1481" s="24"/>
      <c r="S1481" s="25" t="s">
        <v>6091</v>
      </c>
      <c r="T1481" s="25" t="s">
        <v>43</v>
      </c>
      <c r="U1481" s="5"/>
      <c r="V1481" s="5"/>
      <c r="W1481" s="5" t="s">
        <v>46</v>
      </c>
      <c r="X1481" s="5"/>
      <c r="Y1481" s="5"/>
      <c r="Z1481" s="5" t="str">
        <f>HYPERLINK("https://knigipp.ru/api/getInfo/image/7a205864-c101-11ee-a25a-00155d82e908")</f>
        <v>https://knigipp.ru/api/getInfo/image/7a205864-c101-11ee-a25a-00155d82e908</v>
      </c>
      <c r="AA1481" s="33">
        <v>12</v>
      </c>
      <c r="AB1481" s="5"/>
      <c r="AC1481" s="5" t="s">
        <v>96</v>
      </c>
      <c r="AD1481" s="5"/>
      <c r="AE1481" s="5" t="s">
        <v>49</v>
      </c>
      <c r="AF1481" s="5"/>
      <c r="AG1481" s="5"/>
      <c r="AH1481" s="5" t="s">
        <v>5692</v>
      </c>
    </row>
    <row r="1482" spans="2:34" ht="22.95" customHeight="1" outlineLevel="4" x14ac:dyDescent="0.2">
      <c r="B1482" s="75" t="s">
        <v>6092</v>
      </c>
      <c r="C1482" s="75"/>
      <c r="D1482" s="75"/>
    </row>
    <row r="1483" spans="2:34" ht="21" customHeight="1" outlineLevel="5" x14ac:dyDescent="0.2">
      <c r="B1483" s="42">
        <v>1144</v>
      </c>
      <c r="C1483" s="5" t="s">
        <v>6093</v>
      </c>
      <c r="D1483" s="5" t="s">
        <v>6094</v>
      </c>
      <c r="E1483" s="6" t="s">
        <v>6095</v>
      </c>
      <c r="F1483" s="10"/>
      <c r="G1483" s="11" t="s">
        <v>6096</v>
      </c>
      <c r="H1483" s="12">
        <v>30</v>
      </c>
      <c r="I1483" s="13" t="s">
        <v>41</v>
      </c>
      <c r="J1483" s="13"/>
      <c r="K1483" s="13"/>
      <c r="L1483" s="4">
        <v>3</v>
      </c>
      <c r="M1483" s="14">
        <f>147*(1-P3/100)</f>
        <v>147</v>
      </c>
      <c r="N1483" s="15"/>
      <c r="O1483" s="13">
        <f t="shared" ref="O1483:O1499" si="63">M1483*N1483</f>
        <v>0</v>
      </c>
      <c r="P1483" s="22">
        <f>0.063*N1483</f>
        <v>0</v>
      </c>
      <c r="Q1483" s="30">
        <f>0.0001*N1483</f>
        <v>0</v>
      </c>
      <c r="R1483" s="24"/>
      <c r="S1483" s="25" t="s">
        <v>6097</v>
      </c>
      <c r="T1483" s="25" t="s">
        <v>43</v>
      </c>
      <c r="U1483" s="5"/>
      <c r="V1483" s="5"/>
      <c r="W1483" s="5" t="s">
        <v>46</v>
      </c>
      <c r="X1483" s="5"/>
      <c r="Y1483" s="5"/>
      <c r="Z1483" s="5" t="str">
        <f>HYPERLINK("https://knigipp.ru/api/getInfo/image/d8a82f40-6a5b-11ed-a22a-00155d82e902")</f>
        <v>https://knigipp.ru/api/getInfo/image/d8a82f40-6a5b-11ed-a22a-00155d82e902</v>
      </c>
      <c r="AA1483" s="33">
        <v>12</v>
      </c>
      <c r="AB1483" s="5" t="s">
        <v>47</v>
      </c>
      <c r="AC1483" s="5" t="s">
        <v>96</v>
      </c>
      <c r="AD1483" s="5"/>
      <c r="AE1483" s="5" t="s">
        <v>49</v>
      </c>
      <c r="AF1483" s="5"/>
      <c r="AG1483" s="5"/>
      <c r="AH1483" s="5" t="s">
        <v>6098</v>
      </c>
    </row>
    <row r="1484" spans="2:34" ht="21" customHeight="1" outlineLevel="5" x14ac:dyDescent="0.2">
      <c r="B1484" s="42">
        <v>1145</v>
      </c>
      <c r="C1484" s="5" t="s">
        <v>6099</v>
      </c>
      <c r="D1484" s="5" t="s">
        <v>6100</v>
      </c>
      <c r="E1484" s="6" t="s">
        <v>6101</v>
      </c>
      <c r="F1484" s="10"/>
      <c r="G1484" s="11" t="s">
        <v>6096</v>
      </c>
      <c r="H1484" s="12">
        <v>30</v>
      </c>
      <c r="I1484" s="13" t="s">
        <v>41</v>
      </c>
      <c r="J1484" s="13"/>
      <c r="K1484" s="13"/>
      <c r="L1484" s="4">
        <v>3</v>
      </c>
      <c r="M1484" s="14">
        <f>147*(1-P3/100)</f>
        <v>147</v>
      </c>
      <c r="N1484" s="15"/>
      <c r="O1484" s="13">
        <f t="shared" si="63"/>
        <v>0</v>
      </c>
      <c r="P1484" s="22">
        <f>0.067*N1484</f>
        <v>0</v>
      </c>
      <c r="Q1484" s="23">
        <f>0.00015*N1484</f>
        <v>0</v>
      </c>
      <c r="R1484" s="24"/>
      <c r="S1484" s="25" t="s">
        <v>6102</v>
      </c>
      <c r="T1484" s="25" t="s">
        <v>43</v>
      </c>
      <c r="U1484" s="5"/>
      <c r="V1484" s="5"/>
      <c r="W1484" s="5" t="s">
        <v>46</v>
      </c>
      <c r="X1484" s="5"/>
      <c r="Y1484" s="5"/>
      <c r="Z1484" s="5" t="str">
        <f>HYPERLINK("https://knigipp.ru/api/getInfo/image/1a8a0296-4c81-11ee-a244-00155d82e902")</f>
        <v>https://knigipp.ru/api/getInfo/image/1a8a0296-4c81-11ee-a244-00155d82e902</v>
      </c>
      <c r="AA1484" s="33">
        <v>12</v>
      </c>
      <c r="AB1484" s="5" t="s">
        <v>47</v>
      </c>
      <c r="AC1484" s="5" t="s">
        <v>96</v>
      </c>
      <c r="AD1484" s="5"/>
      <c r="AE1484" s="5" t="s">
        <v>49</v>
      </c>
      <c r="AF1484" s="5"/>
      <c r="AG1484" s="5"/>
      <c r="AH1484" s="5" t="s">
        <v>6098</v>
      </c>
    </row>
    <row r="1485" spans="2:34" ht="21" customHeight="1" outlineLevel="5" x14ac:dyDescent="0.2">
      <c r="B1485" s="42">
        <v>1146</v>
      </c>
      <c r="C1485" s="5" t="s">
        <v>6103</v>
      </c>
      <c r="D1485" s="5" t="s">
        <v>6104</v>
      </c>
      <c r="E1485" s="6" t="s">
        <v>6105</v>
      </c>
      <c r="F1485" s="10"/>
      <c r="G1485" s="11" t="s">
        <v>6096</v>
      </c>
      <c r="H1485" s="12">
        <v>30</v>
      </c>
      <c r="I1485" s="13" t="s">
        <v>41</v>
      </c>
      <c r="J1485" s="13"/>
      <c r="K1485" s="13"/>
      <c r="L1485" s="4">
        <v>3</v>
      </c>
      <c r="M1485" s="14">
        <f>147*(1-P3/100)</f>
        <v>147</v>
      </c>
      <c r="N1485" s="15"/>
      <c r="O1485" s="13">
        <f t="shared" si="63"/>
        <v>0</v>
      </c>
      <c r="P1485" s="22">
        <f>0.064*N1485</f>
        <v>0</v>
      </c>
      <c r="Q1485" s="23">
        <f>0.00025*N1485</f>
        <v>0</v>
      </c>
      <c r="R1485" s="24"/>
      <c r="S1485" s="25" t="s">
        <v>6106</v>
      </c>
      <c r="T1485" s="25" t="s">
        <v>43</v>
      </c>
      <c r="U1485" s="5"/>
      <c r="V1485" s="5"/>
      <c r="W1485" s="5" t="s">
        <v>46</v>
      </c>
      <c r="X1485" s="5"/>
      <c r="Y1485" s="5"/>
      <c r="Z1485" s="5" t="str">
        <f>HYPERLINK("https://knigipp.ru/api/getInfo/image/8193df19-6a5b-11ed-a22a-00155d82e902")</f>
        <v>https://knigipp.ru/api/getInfo/image/8193df19-6a5b-11ed-a22a-00155d82e902</v>
      </c>
      <c r="AA1485" s="33">
        <v>12</v>
      </c>
      <c r="AB1485" s="5" t="s">
        <v>47</v>
      </c>
      <c r="AC1485" s="5" t="s">
        <v>96</v>
      </c>
      <c r="AD1485" s="5"/>
      <c r="AE1485" s="5" t="s">
        <v>49</v>
      </c>
      <c r="AF1485" s="5"/>
      <c r="AG1485" s="5"/>
      <c r="AH1485" s="5" t="s">
        <v>6098</v>
      </c>
    </row>
    <row r="1486" spans="2:34" ht="21" customHeight="1" outlineLevel="5" x14ac:dyDescent="0.2">
      <c r="B1486" s="42">
        <v>1147</v>
      </c>
      <c r="C1486" s="5" t="s">
        <v>6107</v>
      </c>
      <c r="D1486" s="5" t="s">
        <v>6108</v>
      </c>
      <c r="E1486" s="6" t="s">
        <v>6109</v>
      </c>
      <c r="F1486" s="10"/>
      <c r="G1486" s="11" t="s">
        <v>6096</v>
      </c>
      <c r="H1486" s="12">
        <v>30</v>
      </c>
      <c r="I1486" s="13" t="s">
        <v>41</v>
      </c>
      <c r="J1486" s="13"/>
      <c r="K1486" s="13"/>
      <c r="L1486" s="4">
        <v>3</v>
      </c>
      <c r="M1486" s="14">
        <f>147*(1-P3/100)</f>
        <v>147</v>
      </c>
      <c r="N1486" s="15"/>
      <c r="O1486" s="13">
        <f t="shared" si="63"/>
        <v>0</v>
      </c>
      <c r="P1486" s="22">
        <f>0.062*N1486</f>
        <v>0</v>
      </c>
      <c r="Q1486" s="23">
        <f>0.00025*N1486</f>
        <v>0</v>
      </c>
      <c r="R1486" s="24"/>
      <c r="S1486" s="25" t="s">
        <v>6110</v>
      </c>
      <c r="T1486" s="25" t="s">
        <v>43</v>
      </c>
      <c r="U1486" s="5"/>
      <c r="V1486" s="5"/>
      <c r="W1486" s="5" t="s">
        <v>46</v>
      </c>
      <c r="X1486" s="5"/>
      <c r="Y1486" s="5"/>
      <c r="Z1486" s="5" t="str">
        <f>HYPERLINK("https://knigipp.ru/api/getInfo/image/5ada562c-6a5b-11ed-a22a-00155d82e902")</f>
        <v>https://knigipp.ru/api/getInfo/image/5ada562c-6a5b-11ed-a22a-00155d82e902</v>
      </c>
      <c r="AA1486" s="33">
        <v>12</v>
      </c>
      <c r="AB1486" s="5" t="s">
        <v>47</v>
      </c>
      <c r="AC1486" s="5" t="s">
        <v>96</v>
      </c>
      <c r="AD1486" s="5"/>
      <c r="AE1486" s="5" t="s">
        <v>49</v>
      </c>
      <c r="AF1486" s="5"/>
      <c r="AG1486" s="5"/>
      <c r="AH1486" s="5" t="s">
        <v>6098</v>
      </c>
    </row>
    <row r="1487" spans="2:34" ht="21" customHeight="1" outlineLevel="5" x14ac:dyDescent="0.2">
      <c r="B1487" s="42">
        <v>1148</v>
      </c>
      <c r="C1487" s="5" t="s">
        <v>6111</v>
      </c>
      <c r="D1487" s="5" t="s">
        <v>6112</v>
      </c>
      <c r="E1487" s="6" t="s">
        <v>6113</v>
      </c>
      <c r="F1487" s="10"/>
      <c r="G1487" s="11" t="s">
        <v>6096</v>
      </c>
      <c r="H1487" s="12">
        <v>30</v>
      </c>
      <c r="I1487" s="13" t="s">
        <v>41</v>
      </c>
      <c r="J1487" s="13"/>
      <c r="K1487" s="13"/>
      <c r="L1487" s="4">
        <v>3</v>
      </c>
      <c r="M1487" s="14">
        <f>147*(1-P3/100)</f>
        <v>147</v>
      </c>
      <c r="N1487" s="15"/>
      <c r="O1487" s="13">
        <f t="shared" si="63"/>
        <v>0</v>
      </c>
      <c r="P1487" s="22">
        <f>0.072*N1487</f>
        <v>0</v>
      </c>
      <c r="Q1487" s="23">
        <f>0.00026*N1487</f>
        <v>0</v>
      </c>
      <c r="R1487" s="24"/>
      <c r="S1487" s="25" t="s">
        <v>6114</v>
      </c>
      <c r="T1487" s="25" t="s">
        <v>43</v>
      </c>
      <c r="U1487" s="5"/>
      <c r="V1487" s="5"/>
      <c r="W1487" s="5" t="s">
        <v>46</v>
      </c>
      <c r="X1487" s="5"/>
      <c r="Y1487" s="5"/>
      <c r="Z1487" s="5" t="str">
        <f>HYPERLINK("https://knigipp.ru/api/getInfo/image/099318a8-da06-11ee-a25a-00155d82e908")</f>
        <v>https://knigipp.ru/api/getInfo/image/099318a8-da06-11ee-a25a-00155d82e908</v>
      </c>
      <c r="AA1487" s="33">
        <v>12</v>
      </c>
      <c r="AB1487" s="5" t="s">
        <v>47</v>
      </c>
      <c r="AC1487" s="5" t="s">
        <v>96</v>
      </c>
      <c r="AD1487" s="5"/>
      <c r="AE1487" s="5" t="s">
        <v>49</v>
      </c>
      <c r="AF1487" s="5"/>
      <c r="AG1487" s="5"/>
      <c r="AH1487" s="5" t="s">
        <v>6098</v>
      </c>
    </row>
    <row r="1488" spans="2:34" ht="21" customHeight="1" outlineLevel="5" x14ac:dyDescent="0.2">
      <c r="B1488" s="42">
        <v>1149</v>
      </c>
      <c r="C1488" s="5" t="s">
        <v>6115</v>
      </c>
      <c r="D1488" s="5" t="s">
        <v>6116</v>
      </c>
      <c r="E1488" s="6" t="s">
        <v>6117</v>
      </c>
      <c r="F1488" s="10"/>
      <c r="G1488" s="11" t="s">
        <v>6096</v>
      </c>
      <c r="H1488" s="12">
        <v>30</v>
      </c>
      <c r="I1488" s="13" t="s">
        <v>41</v>
      </c>
      <c r="J1488" s="13"/>
      <c r="K1488" s="13"/>
      <c r="L1488" s="4">
        <v>3</v>
      </c>
      <c r="M1488" s="14">
        <f>147*(1-P3/100)</f>
        <v>147</v>
      </c>
      <c r="N1488" s="15"/>
      <c r="O1488" s="13">
        <f t="shared" si="63"/>
        <v>0</v>
      </c>
      <c r="P1488" s="22">
        <f>0.062*N1488</f>
        <v>0</v>
      </c>
      <c r="Q1488" s="23">
        <f>0.00066*N1488</f>
        <v>0</v>
      </c>
      <c r="R1488" s="24"/>
      <c r="S1488" s="25" t="s">
        <v>6118</v>
      </c>
      <c r="T1488" s="25" t="s">
        <v>43</v>
      </c>
      <c r="U1488" s="5"/>
      <c r="V1488" s="5"/>
      <c r="W1488" s="5" t="s">
        <v>46</v>
      </c>
      <c r="X1488" s="5"/>
      <c r="Y1488" s="5"/>
      <c r="Z1488" s="5" t="str">
        <f>HYPERLINK("https://knigipp.ru/api/getInfo/image/a725c0c2-6a5b-11ed-a22a-00155d82e902")</f>
        <v>https://knigipp.ru/api/getInfo/image/a725c0c2-6a5b-11ed-a22a-00155d82e902</v>
      </c>
      <c r="AA1488" s="33">
        <v>12</v>
      </c>
      <c r="AB1488" s="5" t="s">
        <v>47</v>
      </c>
      <c r="AC1488" s="5" t="s">
        <v>96</v>
      </c>
      <c r="AD1488" s="5"/>
      <c r="AE1488" s="5" t="s">
        <v>49</v>
      </c>
      <c r="AF1488" s="5"/>
      <c r="AG1488" s="5"/>
      <c r="AH1488" s="5" t="s">
        <v>6098</v>
      </c>
    </row>
    <row r="1489" spans="2:35" ht="21" customHeight="1" outlineLevel="5" x14ac:dyDescent="0.2">
      <c r="B1489" s="42">
        <v>1150</v>
      </c>
      <c r="C1489" s="5" t="s">
        <v>6119</v>
      </c>
      <c r="D1489" s="5" t="s">
        <v>6120</v>
      </c>
      <c r="E1489" s="6" t="s">
        <v>6121</v>
      </c>
      <c r="F1489" s="10"/>
      <c r="G1489" s="11" t="s">
        <v>6096</v>
      </c>
      <c r="H1489" s="12">
        <v>30</v>
      </c>
      <c r="I1489" s="13" t="s">
        <v>41</v>
      </c>
      <c r="J1489" s="13"/>
      <c r="K1489" s="13"/>
      <c r="L1489" s="4">
        <v>3</v>
      </c>
      <c r="M1489" s="14">
        <f>147*(1-P3/100)</f>
        <v>147</v>
      </c>
      <c r="N1489" s="15"/>
      <c r="O1489" s="13">
        <f t="shared" si="63"/>
        <v>0</v>
      </c>
      <c r="P1489" s="22">
        <f>0.067*N1489</f>
        <v>0</v>
      </c>
      <c r="Q1489" s="23">
        <f>0.00061*N1489</f>
        <v>0</v>
      </c>
      <c r="R1489" s="24"/>
      <c r="S1489" s="25" t="s">
        <v>6122</v>
      </c>
      <c r="T1489" s="25" t="s">
        <v>43</v>
      </c>
      <c r="U1489" s="5"/>
      <c r="V1489" s="5"/>
      <c r="W1489" s="5" t="s">
        <v>46</v>
      </c>
      <c r="X1489" s="5"/>
      <c r="Y1489" s="5"/>
      <c r="Z1489" s="5" t="str">
        <f>HYPERLINK("https://knigipp.ru/api/getInfo/image/84b6150a-4c81-11ee-a244-00155d82e902")</f>
        <v>https://knigipp.ru/api/getInfo/image/84b6150a-4c81-11ee-a244-00155d82e902</v>
      </c>
      <c r="AA1489" s="33">
        <v>12</v>
      </c>
      <c r="AB1489" s="5" t="s">
        <v>47</v>
      </c>
      <c r="AC1489" s="5" t="s">
        <v>96</v>
      </c>
      <c r="AD1489" s="5"/>
      <c r="AE1489" s="5" t="s">
        <v>49</v>
      </c>
      <c r="AF1489" s="5"/>
      <c r="AG1489" s="5"/>
      <c r="AH1489" s="5" t="s">
        <v>6098</v>
      </c>
    </row>
    <row r="1490" spans="2:35" ht="21" customHeight="1" outlineLevel="5" x14ac:dyDescent="0.2">
      <c r="B1490" s="42">
        <v>1151</v>
      </c>
      <c r="C1490" s="5" t="s">
        <v>6123</v>
      </c>
      <c r="D1490" s="5" t="s">
        <v>6124</v>
      </c>
      <c r="E1490" s="6" t="s">
        <v>6125</v>
      </c>
      <c r="F1490" s="10"/>
      <c r="G1490" s="11" t="s">
        <v>6126</v>
      </c>
      <c r="H1490" s="12">
        <v>30</v>
      </c>
      <c r="I1490" s="13" t="s">
        <v>41</v>
      </c>
      <c r="J1490" s="13"/>
      <c r="K1490" s="13"/>
      <c r="L1490" s="4">
        <v>3</v>
      </c>
      <c r="M1490" s="14">
        <f>147*(1-P3/100)</f>
        <v>147</v>
      </c>
      <c r="N1490" s="15"/>
      <c r="O1490" s="13">
        <f t="shared" si="63"/>
        <v>0</v>
      </c>
      <c r="P1490" s="22">
        <f>0.068*N1490</f>
        <v>0</v>
      </c>
      <c r="Q1490" s="23">
        <f>0.00005*N1490</f>
        <v>0</v>
      </c>
      <c r="R1490" s="24"/>
      <c r="S1490" s="25" t="s">
        <v>6127</v>
      </c>
      <c r="T1490" s="25" t="s">
        <v>43</v>
      </c>
      <c r="U1490" s="5"/>
      <c r="V1490" s="5" t="s">
        <v>6128</v>
      </c>
      <c r="W1490" s="5" t="s">
        <v>46</v>
      </c>
      <c r="X1490" s="5"/>
      <c r="Y1490" s="5"/>
      <c r="Z1490" s="5" t="str">
        <f>HYPERLINK("https://knigipp.ru/api/getInfo/image/958ff6f6-ae51-11ef-a267-00155d82e908")</f>
        <v>https://knigipp.ru/api/getInfo/image/958ff6f6-ae51-11ef-a267-00155d82e908</v>
      </c>
      <c r="AA1490" s="33">
        <v>12</v>
      </c>
      <c r="AB1490" s="5" t="s">
        <v>47</v>
      </c>
      <c r="AC1490" s="5" t="s">
        <v>96</v>
      </c>
      <c r="AD1490" s="5"/>
      <c r="AE1490" s="5" t="s">
        <v>49</v>
      </c>
      <c r="AF1490" s="5"/>
      <c r="AG1490" s="5"/>
      <c r="AH1490" s="5" t="s">
        <v>6098</v>
      </c>
    </row>
    <row r="1491" spans="2:35" ht="21" customHeight="1" outlineLevel="5" x14ac:dyDescent="0.2">
      <c r="B1491" s="42">
        <v>1152</v>
      </c>
      <c r="C1491" s="5" t="s">
        <v>6129</v>
      </c>
      <c r="D1491" s="5" t="s">
        <v>6130</v>
      </c>
      <c r="E1491" s="6" t="s">
        <v>6131</v>
      </c>
      <c r="F1491" s="10"/>
      <c r="G1491" s="11" t="s">
        <v>6096</v>
      </c>
      <c r="H1491" s="12">
        <v>30</v>
      </c>
      <c r="I1491" s="13" t="s">
        <v>41</v>
      </c>
      <c r="J1491" s="13"/>
      <c r="K1491" s="13"/>
      <c r="L1491" s="4">
        <v>3</v>
      </c>
      <c r="M1491" s="14">
        <f>147*(1-P3/100)</f>
        <v>147</v>
      </c>
      <c r="N1491" s="15"/>
      <c r="O1491" s="13">
        <f t="shared" si="63"/>
        <v>0</v>
      </c>
      <c r="P1491" s="22">
        <f>0.065*N1491</f>
        <v>0</v>
      </c>
      <c r="Q1491" s="23">
        <f>0.00011*N1491</f>
        <v>0</v>
      </c>
      <c r="R1491" s="24"/>
      <c r="S1491" s="25" t="s">
        <v>6132</v>
      </c>
      <c r="T1491" s="25" t="s">
        <v>43</v>
      </c>
      <c r="U1491" s="5"/>
      <c r="V1491" s="5"/>
      <c r="W1491" s="5" t="s">
        <v>46</v>
      </c>
      <c r="X1491" s="5"/>
      <c r="Y1491" s="5"/>
      <c r="Z1491" s="5" t="str">
        <f>HYPERLINK("https://knigipp.ru/api/getInfo/image/779ac2ad-da05-11ee-a25a-00155d82e908")</f>
        <v>https://knigipp.ru/api/getInfo/image/779ac2ad-da05-11ee-a25a-00155d82e908</v>
      </c>
      <c r="AA1491" s="33">
        <v>12</v>
      </c>
      <c r="AB1491" s="5" t="s">
        <v>47</v>
      </c>
      <c r="AC1491" s="5" t="s">
        <v>96</v>
      </c>
      <c r="AD1491" s="5"/>
      <c r="AE1491" s="5" t="s">
        <v>49</v>
      </c>
      <c r="AF1491" s="5"/>
      <c r="AG1491" s="5"/>
      <c r="AH1491" s="5" t="s">
        <v>6098</v>
      </c>
    </row>
    <row r="1492" spans="2:35" ht="21" customHeight="1" outlineLevel="5" x14ac:dyDescent="0.2">
      <c r="B1492" s="43">
        <v>1153</v>
      </c>
      <c r="C1492" s="8" t="s">
        <v>6133</v>
      </c>
      <c r="D1492" s="8" t="s">
        <v>6134</v>
      </c>
      <c r="E1492" s="9" t="s">
        <v>6135</v>
      </c>
      <c r="F1492" s="16"/>
      <c r="G1492" s="17" t="s">
        <v>6136</v>
      </c>
      <c r="H1492" s="18">
        <v>30</v>
      </c>
      <c r="I1492" s="19" t="s">
        <v>41</v>
      </c>
      <c r="J1492" s="19"/>
      <c r="K1492" s="19"/>
      <c r="L1492" s="7">
        <v>3</v>
      </c>
      <c r="M1492" s="21">
        <f>147*(1-P3/100)</f>
        <v>147</v>
      </c>
      <c r="N1492" s="15"/>
      <c r="O1492" s="19">
        <f t="shared" si="63"/>
        <v>0</v>
      </c>
      <c r="P1492" s="26">
        <f>0.069*N1492</f>
        <v>0</v>
      </c>
      <c r="Q1492" s="27">
        <f>0.00021*N1492</f>
        <v>0</v>
      </c>
      <c r="R1492" s="28" t="s">
        <v>81</v>
      </c>
      <c r="S1492" s="29" t="s">
        <v>6137</v>
      </c>
      <c r="T1492" s="29" t="s">
        <v>43</v>
      </c>
      <c r="U1492" s="8"/>
      <c r="V1492" s="8" t="s">
        <v>6138</v>
      </c>
      <c r="W1492" s="8" t="s">
        <v>46</v>
      </c>
      <c r="X1492" s="8"/>
      <c r="Y1492" s="8"/>
      <c r="Z1492" s="8" t="str">
        <f>HYPERLINK("https://knigipp.ru/api/getInfo/image/5a798f2e-b665-11f0-a286-00155d82e908")</f>
        <v>https://knigipp.ru/api/getInfo/image/5a798f2e-b665-11f0-a286-00155d82e908</v>
      </c>
      <c r="AA1492" s="34">
        <v>12</v>
      </c>
      <c r="AB1492" s="8" t="s">
        <v>47</v>
      </c>
      <c r="AC1492" s="8" t="s">
        <v>96</v>
      </c>
      <c r="AD1492" s="8"/>
      <c r="AE1492" s="8" t="s">
        <v>49</v>
      </c>
      <c r="AF1492" s="8"/>
      <c r="AG1492" s="8"/>
      <c r="AH1492" s="8" t="s">
        <v>6098</v>
      </c>
      <c r="AI1492" s="55"/>
    </row>
    <row r="1493" spans="2:35" ht="21" customHeight="1" outlineLevel="5" x14ac:dyDescent="0.2">
      <c r="B1493" s="42">
        <v>1154</v>
      </c>
      <c r="C1493" s="5" t="s">
        <v>6139</v>
      </c>
      <c r="D1493" s="5" t="s">
        <v>6140</v>
      </c>
      <c r="E1493" s="6" t="s">
        <v>6141</v>
      </c>
      <c r="F1493" s="10"/>
      <c r="G1493" s="11" t="s">
        <v>6096</v>
      </c>
      <c r="H1493" s="12">
        <v>30</v>
      </c>
      <c r="I1493" s="13" t="s">
        <v>41</v>
      </c>
      <c r="J1493" s="13"/>
      <c r="K1493" s="13"/>
      <c r="L1493" s="4">
        <v>3</v>
      </c>
      <c r="M1493" s="14">
        <f>147*(1-P3/100)</f>
        <v>147</v>
      </c>
      <c r="N1493" s="15"/>
      <c r="O1493" s="13">
        <f t="shared" si="63"/>
        <v>0</v>
      </c>
      <c r="P1493" s="22">
        <f>0.062*N1493</f>
        <v>0</v>
      </c>
      <c r="Q1493" s="23">
        <f>0.00025*N1493</f>
        <v>0</v>
      </c>
      <c r="R1493" s="24"/>
      <c r="S1493" s="25" t="s">
        <v>6142</v>
      </c>
      <c r="T1493" s="25" t="s">
        <v>43</v>
      </c>
      <c r="U1493" s="5"/>
      <c r="V1493" s="5"/>
      <c r="W1493" s="5" t="s">
        <v>46</v>
      </c>
      <c r="X1493" s="5"/>
      <c r="Y1493" s="5"/>
      <c r="Z1493" s="5" t="str">
        <f>HYPERLINK("https://knigipp.ru/api/getInfo/image/519bca45-da06-11ee-a25a-00155d82e908")</f>
        <v>https://knigipp.ru/api/getInfo/image/519bca45-da06-11ee-a25a-00155d82e908</v>
      </c>
      <c r="AA1493" s="33">
        <v>12</v>
      </c>
      <c r="AB1493" s="5" t="s">
        <v>47</v>
      </c>
      <c r="AC1493" s="5" t="s">
        <v>96</v>
      </c>
      <c r="AD1493" s="5"/>
      <c r="AE1493" s="5" t="s">
        <v>49</v>
      </c>
      <c r="AF1493" s="5"/>
      <c r="AG1493" s="5"/>
      <c r="AH1493" s="5" t="s">
        <v>6098</v>
      </c>
    </row>
    <row r="1494" spans="2:35" ht="21" customHeight="1" outlineLevel="5" x14ac:dyDescent="0.2">
      <c r="B1494" s="42">
        <v>1155</v>
      </c>
      <c r="C1494" s="5" t="s">
        <v>6143</v>
      </c>
      <c r="D1494" s="5" t="s">
        <v>6144</v>
      </c>
      <c r="E1494" s="6" t="s">
        <v>6145</v>
      </c>
      <c r="F1494" s="10"/>
      <c r="G1494" s="11" t="s">
        <v>6096</v>
      </c>
      <c r="H1494" s="12">
        <v>30</v>
      </c>
      <c r="I1494" s="13" t="s">
        <v>41</v>
      </c>
      <c r="J1494" s="13"/>
      <c r="K1494" s="13"/>
      <c r="L1494" s="4">
        <v>3</v>
      </c>
      <c r="M1494" s="14">
        <f>147*(1-P3/100)</f>
        <v>147</v>
      </c>
      <c r="N1494" s="15"/>
      <c r="O1494" s="13">
        <f t="shared" si="63"/>
        <v>0</v>
      </c>
      <c r="P1494" s="22">
        <f>0.065*N1494</f>
        <v>0</v>
      </c>
      <c r="Q1494" s="30">
        <f>0.0001*N1494</f>
        <v>0</v>
      </c>
      <c r="R1494" s="24"/>
      <c r="S1494" s="25" t="s">
        <v>6146</v>
      </c>
      <c r="T1494" s="25" t="s">
        <v>43</v>
      </c>
      <c r="U1494" s="5"/>
      <c r="V1494" s="5"/>
      <c r="W1494" s="5" t="s">
        <v>46</v>
      </c>
      <c r="X1494" s="5"/>
      <c r="Y1494" s="5"/>
      <c r="Z1494" s="5" t="str">
        <f>HYPERLINK("https://knigipp.ru/api/getInfo/image/389f82d0-4c82-11ee-a244-00155d82e902")</f>
        <v>https://knigipp.ru/api/getInfo/image/389f82d0-4c82-11ee-a244-00155d82e902</v>
      </c>
      <c r="AA1494" s="33">
        <v>12</v>
      </c>
      <c r="AB1494" s="5" t="s">
        <v>47</v>
      </c>
      <c r="AC1494" s="5" t="s">
        <v>96</v>
      </c>
      <c r="AD1494" s="5"/>
      <c r="AE1494" s="5" t="s">
        <v>49</v>
      </c>
      <c r="AF1494" s="5"/>
      <c r="AG1494" s="5"/>
      <c r="AH1494" s="5" t="s">
        <v>6098</v>
      </c>
    </row>
    <row r="1495" spans="2:35" ht="21" customHeight="1" outlineLevel="5" x14ac:dyDescent="0.2">
      <c r="B1495" s="42">
        <v>1156</v>
      </c>
      <c r="C1495" s="5" t="s">
        <v>6147</v>
      </c>
      <c r="D1495" s="5" t="s">
        <v>6148</v>
      </c>
      <c r="E1495" s="6" t="s">
        <v>6149</v>
      </c>
      <c r="F1495" s="10"/>
      <c r="G1495" s="11" t="s">
        <v>6096</v>
      </c>
      <c r="H1495" s="12">
        <v>30</v>
      </c>
      <c r="I1495" s="13" t="s">
        <v>261</v>
      </c>
      <c r="J1495" s="13"/>
      <c r="K1495" s="13"/>
      <c r="L1495" s="4">
        <v>3</v>
      </c>
      <c r="M1495" s="14">
        <f>147*(1-P3/100)</f>
        <v>147</v>
      </c>
      <c r="N1495" s="15"/>
      <c r="O1495" s="13">
        <f t="shared" si="63"/>
        <v>0</v>
      </c>
      <c r="P1495" s="22">
        <f>0.067*N1495</f>
        <v>0</v>
      </c>
      <c r="Q1495" s="30">
        <f>0.0001*N1495</f>
        <v>0</v>
      </c>
      <c r="R1495" s="24"/>
      <c r="S1495" s="25" t="s">
        <v>6150</v>
      </c>
      <c r="T1495" s="25" t="s">
        <v>43</v>
      </c>
      <c r="U1495" s="5"/>
      <c r="V1495" s="5"/>
      <c r="W1495" s="5" t="s">
        <v>46</v>
      </c>
      <c r="X1495" s="5"/>
      <c r="Y1495" s="5"/>
      <c r="Z1495" s="5" t="str">
        <f>HYPERLINK("https://knigipp.ru/api/getInfo/image/7e761a7f-da06-11ee-a25a-00155d82e908")</f>
        <v>https://knigipp.ru/api/getInfo/image/7e761a7f-da06-11ee-a25a-00155d82e908</v>
      </c>
      <c r="AA1495" s="33">
        <v>12</v>
      </c>
      <c r="AB1495" s="5" t="s">
        <v>47</v>
      </c>
      <c r="AC1495" s="5" t="s">
        <v>96</v>
      </c>
      <c r="AD1495" s="5"/>
      <c r="AE1495" s="5" t="s">
        <v>49</v>
      </c>
      <c r="AF1495" s="5"/>
      <c r="AG1495" s="5"/>
      <c r="AH1495" s="5" t="s">
        <v>6098</v>
      </c>
    </row>
    <row r="1496" spans="2:35" ht="21" customHeight="1" outlineLevel="5" x14ac:dyDescent="0.2">
      <c r="B1496" s="42">
        <v>1157</v>
      </c>
      <c r="C1496" s="5" t="s">
        <v>6151</v>
      </c>
      <c r="D1496" s="5" t="s">
        <v>6152</v>
      </c>
      <c r="E1496" s="6" t="s">
        <v>6153</v>
      </c>
      <c r="F1496" s="10"/>
      <c r="G1496" s="11" t="s">
        <v>6096</v>
      </c>
      <c r="H1496" s="12">
        <v>30</v>
      </c>
      <c r="I1496" s="13" t="s">
        <v>41</v>
      </c>
      <c r="J1496" s="13"/>
      <c r="K1496" s="13"/>
      <c r="L1496" s="4">
        <v>3</v>
      </c>
      <c r="M1496" s="14">
        <f>147*(1-P3/100)</f>
        <v>147</v>
      </c>
      <c r="N1496" s="15"/>
      <c r="O1496" s="13">
        <f t="shared" si="63"/>
        <v>0</v>
      </c>
      <c r="P1496" s="22">
        <f>0.067*N1496</f>
        <v>0</v>
      </c>
      <c r="Q1496" s="30">
        <f>0.0001*N1496</f>
        <v>0</v>
      </c>
      <c r="R1496" s="24"/>
      <c r="S1496" s="25" t="s">
        <v>6154</v>
      </c>
      <c r="T1496" s="25" t="s">
        <v>43</v>
      </c>
      <c r="U1496" s="5"/>
      <c r="V1496" s="5"/>
      <c r="W1496" s="5" t="s">
        <v>46</v>
      </c>
      <c r="X1496" s="5"/>
      <c r="Y1496" s="5"/>
      <c r="Z1496" s="5" t="str">
        <f>HYPERLINK("https://knigipp.ru/api/getInfo/image/7e492b81-4c82-11ee-a244-00155d82e902")</f>
        <v>https://knigipp.ru/api/getInfo/image/7e492b81-4c82-11ee-a244-00155d82e902</v>
      </c>
      <c r="AA1496" s="33">
        <v>12</v>
      </c>
      <c r="AB1496" s="5" t="s">
        <v>47</v>
      </c>
      <c r="AC1496" s="5" t="s">
        <v>96</v>
      </c>
      <c r="AD1496" s="5"/>
      <c r="AE1496" s="5" t="s">
        <v>49</v>
      </c>
      <c r="AF1496" s="5"/>
      <c r="AG1496" s="5"/>
      <c r="AH1496" s="5" t="s">
        <v>6098</v>
      </c>
    </row>
    <row r="1497" spans="2:35" ht="21" customHeight="1" outlineLevel="5" x14ac:dyDescent="0.2">
      <c r="B1497" s="42">
        <v>1158</v>
      </c>
      <c r="C1497" s="5" t="s">
        <v>6155</v>
      </c>
      <c r="D1497" s="5" t="s">
        <v>6156</v>
      </c>
      <c r="E1497" s="6" t="s">
        <v>6157</v>
      </c>
      <c r="F1497" s="10"/>
      <c r="G1497" s="11" t="s">
        <v>6054</v>
      </c>
      <c r="H1497" s="12">
        <v>30</v>
      </c>
      <c r="I1497" s="13" t="s">
        <v>371</v>
      </c>
      <c r="J1497" s="13"/>
      <c r="K1497" s="13"/>
      <c r="L1497" s="4">
        <v>3</v>
      </c>
      <c r="M1497" s="14">
        <f>147*(1-P3/100)</f>
        <v>147</v>
      </c>
      <c r="N1497" s="15"/>
      <c r="O1497" s="13">
        <f t="shared" si="63"/>
        <v>0</v>
      </c>
      <c r="P1497" s="22">
        <f>0.065*N1497</f>
        <v>0</v>
      </c>
      <c r="Q1497" s="23">
        <f>0.00041*N1497</f>
        <v>0</v>
      </c>
      <c r="R1497" s="24"/>
      <c r="S1497" s="25" t="s">
        <v>6158</v>
      </c>
      <c r="T1497" s="25" t="s">
        <v>43</v>
      </c>
      <c r="U1497" s="5"/>
      <c r="V1497" s="5" t="s">
        <v>6159</v>
      </c>
      <c r="W1497" s="5" t="s">
        <v>46</v>
      </c>
      <c r="X1497" s="5"/>
      <c r="Y1497" s="5"/>
      <c r="Z1497" s="5" t="str">
        <f>HYPERLINK("https://knigipp.ru/api/getInfo/image/63bd2552-7f3c-11ef-a265-00155d82e908")</f>
        <v>https://knigipp.ru/api/getInfo/image/63bd2552-7f3c-11ef-a265-00155d82e908</v>
      </c>
      <c r="AA1497" s="33">
        <v>12</v>
      </c>
      <c r="AB1497" s="5" t="s">
        <v>47</v>
      </c>
      <c r="AC1497" s="5" t="s">
        <v>96</v>
      </c>
      <c r="AD1497" s="5"/>
      <c r="AE1497" s="5" t="s">
        <v>49</v>
      </c>
      <c r="AF1497" s="5"/>
      <c r="AG1497" s="5"/>
      <c r="AH1497" s="5" t="s">
        <v>6098</v>
      </c>
    </row>
    <row r="1498" spans="2:35" ht="21" customHeight="1" outlineLevel="5" x14ac:dyDescent="0.2">
      <c r="B1498" s="42">
        <v>1159</v>
      </c>
      <c r="C1498" s="5" t="s">
        <v>6160</v>
      </c>
      <c r="D1498" s="5" t="s">
        <v>6161</v>
      </c>
      <c r="E1498" s="6" t="s">
        <v>6162</v>
      </c>
      <c r="F1498" s="10"/>
      <c r="G1498" s="11" t="s">
        <v>442</v>
      </c>
      <c r="H1498" s="12">
        <v>30</v>
      </c>
      <c r="I1498" s="13" t="s">
        <v>41</v>
      </c>
      <c r="J1498" s="13"/>
      <c r="K1498" s="13"/>
      <c r="L1498" s="4">
        <v>3</v>
      </c>
      <c r="M1498" s="14">
        <f>147*(1-P3/100)</f>
        <v>147</v>
      </c>
      <c r="N1498" s="15"/>
      <c r="O1498" s="13">
        <f t="shared" si="63"/>
        <v>0</v>
      </c>
      <c r="P1498" s="22">
        <f>0.077*N1498</f>
        <v>0</v>
      </c>
      <c r="Q1498" s="23">
        <f>0.00022*N1498</f>
        <v>0</v>
      </c>
      <c r="R1498" s="24"/>
      <c r="S1498" s="25" t="s">
        <v>6163</v>
      </c>
      <c r="T1498" s="25" t="s">
        <v>43</v>
      </c>
      <c r="U1498" s="5"/>
      <c r="V1498" s="5" t="s">
        <v>6164</v>
      </c>
      <c r="W1498" s="5" t="s">
        <v>46</v>
      </c>
      <c r="X1498" s="5"/>
      <c r="Y1498" s="5"/>
      <c r="Z1498" s="5" t="str">
        <f>HYPERLINK("https://knigipp.ru/api/getInfo/image/7b8d8489-dfdb-11ef-a273-00155d82e908")</f>
        <v>https://knigipp.ru/api/getInfo/image/7b8d8489-dfdb-11ef-a273-00155d82e908</v>
      </c>
      <c r="AA1498" s="33">
        <v>12</v>
      </c>
      <c r="AB1498" s="5" t="s">
        <v>47</v>
      </c>
      <c r="AC1498" s="5" t="s">
        <v>96</v>
      </c>
      <c r="AD1498" s="5"/>
      <c r="AE1498" s="5" t="s">
        <v>49</v>
      </c>
      <c r="AF1498" s="5"/>
      <c r="AG1498" s="5"/>
      <c r="AH1498" s="5" t="s">
        <v>6098</v>
      </c>
    </row>
    <row r="1499" spans="2:35" ht="21" customHeight="1" outlineLevel="5" x14ac:dyDescent="0.2">
      <c r="B1499" s="43">
        <v>1160</v>
      </c>
      <c r="C1499" s="8" t="s">
        <v>6165</v>
      </c>
      <c r="D1499" s="8" t="s">
        <v>6166</v>
      </c>
      <c r="E1499" s="9" t="s">
        <v>6167</v>
      </c>
      <c r="F1499" s="16"/>
      <c r="G1499" s="17" t="s">
        <v>6168</v>
      </c>
      <c r="H1499" s="18">
        <v>30</v>
      </c>
      <c r="I1499" s="19" t="s">
        <v>41</v>
      </c>
      <c r="J1499" s="19"/>
      <c r="K1499" s="19"/>
      <c r="L1499" s="7">
        <v>3</v>
      </c>
      <c r="M1499" s="21">
        <f>147*(1-P3/100)</f>
        <v>147</v>
      </c>
      <c r="N1499" s="15"/>
      <c r="O1499" s="19">
        <f t="shared" si="63"/>
        <v>0</v>
      </c>
      <c r="P1499" s="26">
        <f>0.067*N1499</f>
        <v>0</v>
      </c>
      <c r="Q1499" s="31">
        <f>0.0001*N1499</f>
        <v>0</v>
      </c>
      <c r="R1499" s="28" t="s">
        <v>81</v>
      </c>
      <c r="S1499" s="29" t="s">
        <v>6169</v>
      </c>
      <c r="T1499" s="29" t="s">
        <v>43</v>
      </c>
      <c r="U1499" s="8"/>
      <c r="V1499" s="8" t="s">
        <v>6170</v>
      </c>
      <c r="W1499" s="8" t="s">
        <v>46</v>
      </c>
      <c r="X1499" s="8"/>
      <c r="Y1499" s="8"/>
      <c r="Z1499" s="8" t="str">
        <f>HYPERLINK("https://knigipp.ru/api/getInfo/image/a90b36f6-b665-11f0-a286-00155d82e908")</f>
        <v>https://knigipp.ru/api/getInfo/image/a90b36f6-b665-11f0-a286-00155d82e908</v>
      </c>
      <c r="AA1499" s="34">
        <v>12</v>
      </c>
      <c r="AB1499" s="8" t="s">
        <v>47</v>
      </c>
      <c r="AC1499" s="8" t="s">
        <v>96</v>
      </c>
      <c r="AD1499" s="8"/>
      <c r="AE1499" s="8" t="s">
        <v>49</v>
      </c>
      <c r="AF1499" s="8"/>
      <c r="AG1499" s="8"/>
      <c r="AH1499" s="8" t="s">
        <v>6098</v>
      </c>
      <c r="AI1499" s="55"/>
    </row>
    <row r="1500" spans="2:35" ht="22.95" customHeight="1" outlineLevel="4" x14ac:dyDescent="0.2">
      <c r="B1500" s="75" t="s">
        <v>6171</v>
      </c>
      <c r="C1500" s="75"/>
      <c r="D1500" s="75"/>
    </row>
    <row r="1501" spans="2:35" ht="21" customHeight="1" outlineLevel="5" x14ac:dyDescent="0.2">
      <c r="B1501" s="42">
        <v>1161</v>
      </c>
      <c r="C1501" s="5" t="s">
        <v>6172</v>
      </c>
      <c r="D1501" s="5" t="s">
        <v>6173</v>
      </c>
      <c r="E1501" s="6" t="s">
        <v>6174</v>
      </c>
      <c r="F1501" s="10"/>
      <c r="G1501" s="11" t="s">
        <v>6175</v>
      </c>
      <c r="H1501" s="12">
        <v>20</v>
      </c>
      <c r="I1501" s="13" t="s">
        <v>261</v>
      </c>
      <c r="J1501" s="13"/>
      <c r="K1501" s="13"/>
      <c r="L1501" s="4">
        <v>2</v>
      </c>
      <c r="M1501" s="14">
        <f>299*(1-P3/100)</f>
        <v>299</v>
      </c>
      <c r="N1501" s="15"/>
      <c r="O1501" s="13">
        <f>M1501*N1501</f>
        <v>0</v>
      </c>
      <c r="P1501" s="22">
        <f>0.106*N1501</f>
        <v>0</v>
      </c>
      <c r="Q1501" s="23">
        <f>0.00029*N1501</f>
        <v>0</v>
      </c>
      <c r="R1501" s="24"/>
      <c r="S1501" s="25" t="s">
        <v>6176</v>
      </c>
      <c r="T1501" s="25" t="s">
        <v>43</v>
      </c>
      <c r="U1501" s="5"/>
      <c r="V1501" s="5"/>
      <c r="W1501" s="5" t="s">
        <v>46</v>
      </c>
      <c r="X1501" s="5"/>
      <c r="Y1501" s="5"/>
      <c r="Z1501" s="5" t="str">
        <f>HYPERLINK("https://knigipp.ru/api/getInfo/image/ade96bcc-dd24-11ed-a233-00155d82e902")</f>
        <v>https://knigipp.ru/api/getInfo/image/ade96bcc-dd24-11ed-a233-00155d82e902</v>
      </c>
      <c r="AA1501" s="33">
        <v>16</v>
      </c>
      <c r="AB1501" s="5"/>
      <c r="AC1501" s="5" t="s">
        <v>96</v>
      </c>
      <c r="AD1501" s="5"/>
      <c r="AE1501" s="5" t="s">
        <v>49</v>
      </c>
      <c r="AF1501" s="5"/>
      <c r="AG1501" s="5"/>
      <c r="AH1501" s="5" t="s">
        <v>6177</v>
      </c>
    </row>
    <row r="1502" spans="2:35" ht="21" customHeight="1" outlineLevel="5" x14ac:dyDescent="0.2">
      <c r="B1502" s="42">
        <v>1162</v>
      </c>
      <c r="C1502" s="5" t="s">
        <v>6178</v>
      </c>
      <c r="D1502" s="5" t="s">
        <v>6179</v>
      </c>
      <c r="E1502" s="6" t="s">
        <v>6180</v>
      </c>
      <c r="F1502" s="10"/>
      <c r="G1502" s="11" t="s">
        <v>6175</v>
      </c>
      <c r="H1502" s="12">
        <v>20</v>
      </c>
      <c r="I1502" s="13" t="s">
        <v>371</v>
      </c>
      <c r="J1502" s="13"/>
      <c r="K1502" s="13"/>
      <c r="L1502" s="4">
        <v>2</v>
      </c>
      <c r="M1502" s="14">
        <f>299*(1-P3/100)</f>
        <v>299</v>
      </c>
      <c r="N1502" s="15"/>
      <c r="O1502" s="13">
        <f>M1502*N1502</f>
        <v>0</v>
      </c>
      <c r="P1502" s="22">
        <f>0.087*N1502</f>
        <v>0</v>
      </c>
      <c r="Q1502" s="23">
        <f>0.00025*N1502</f>
        <v>0</v>
      </c>
      <c r="R1502" s="24"/>
      <c r="S1502" s="25" t="s">
        <v>6181</v>
      </c>
      <c r="T1502" s="25" t="s">
        <v>43</v>
      </c>
      <c r="U1502" s="5"/>
      <c r="V1502" s="5"/>
      <c r="W1502" s="5" t="s">
        <v>46</v>
      </c>
      <c r="X1502" s="5"/>
      <c r="Y1502" s="5"/>
      <c r="Z1502" s="5" t="str">
        <f>HYPERLINK("https://knigipp.ru/api/getInfo/image/67b2ecff-dd24-11ed-a233-00155d82e902")</f>
        <v>https://knigipp.ru/api/getInfo/image/67b2ecff-dd24-11ed-a233-00155d82e902</v>
      </c>
      <c r="AA1502" s="33">
        <v>16</v>
      </c>
      <c r="AB1502" s="5"/>
      <c r="AC1502" s="5" t="s">
        <v>96</v>
      </c>
      <c r="AD1502" s="5"/>
      <c r="AE1502" s="5" t="s">
        <v>49</v>
      </c>
      <c r="AF1502" s="5"/>
      <c r="AG1502" s="5"/>
      <c r="AH1502" s="5" t="s">
        <v>6177</v>
      </c>
    </row>
    <row r="1503" spans="2:35" ht="22.95" customHeight="1" outlineLevel="4" x14ac:dyDescent="0.2">
      <c r="B1503" s="75" t="s">
        <v>6182</v>
      </c>
      <c r="C1503" s="75"/>
      <c r="D1503" s="75"/>
    </row>
    <row r="1504" spans="2:35" ht="21" customHeight="1" outlineLevel="5" x14ac:dyDescent="0.2">
      <c r="B1504" s="42">
        <v>1163</v>
      </c>
      <c r="C1504" s="5" t="s">
        <v>6183</v>
      </c>
      <c r="D1504" s="5" t="s">
        <v>6184</v>
      </c>
      <c r="E1504" s="6" t="s">
        <v>6185</v>
      </c>
      <c r="F1504" s="10"/>
      <c r="G1504" s="11" t="s">
        <v>6186</v>
      </c>
      <c r="H1504" s="12">
        <v>30</v>
      </c>
      <c r="I1504" s="13" t="s">
        <v>41</v>
      </c>
      <c r="J1504" s="13"/>
      <c r="K1504" s="13"/>
      <c r="L1504" s="4">
        <v>6</v>
      </c>
      <c r="M1504" s="14">
        <f>109*(1-P3/100)</f>
        <v>109</v>
      </c>
      <c r="N1504" s="15"/>
      <c r="O1504" s="13">
        <f t="shared" ref="O1504:O1510" si="64">M1504*N1504</f>
        <v>0</v>
      </c>
      <c r="P1504" s="22">
        <f>0.062*N1504</f>
        <v>0</v>
      </c>
      <c r="Q1504" s="23">
        <f>0.00021*N1504</f>
        <v>0</v>
      </c>
      <c r="R1504" s="24"/>
      <c r="S1504" s="25" t="s">
        <v>6187</v>
      </c>
      <c r="T1504" s="25" t="s">
        <v>43</v>
      </c>
      <c r="U1504" s="5"/>
      <c r="V1504" s="5" t="s">
        <v>6188</v>
      </c>
      <c r="W1504" s="5" t="s">
        <v>46</v>
      </c>
      <c r="X1504" s="5"/>
      <c r="Y1504" s="5"/>
      <c r="Z1504" s="5" t="str">
        <f>HYPERLINK("https://knigipp.ru/api/getInfo/image/8fde9c93-edd9-11ee-a25b-00155d82e908")</f>
        <v>https://knigipp.ru/api/getInfo/image/8fde9c93-edd9-11ee-a25b-00155d82e908</v>
      </c>
      <c r="AA1504" s="33">
        <v>12</v>
      </c>
      <c r="AB1504" s="5" t="s">
        <v>47</v>
      </c>
      <c r="AC1504" s="5" t="s">
        <v>96</v>
      </c>
      <c r="AD1504" s="5"/>
      <c r="AE1504" s="5" t="s">
        <v>49</v>
      </c>
      <c r="AF1504" s="5"/>
      <c r="AG1504" s="5"/>
      <c r="AH1504" s="5" t="s">
        <v>6189</v>
      </c>
    </row>
    <row r="1505" spans="2:34" ht="21" customHeight="1" outlineLevel="5" x14ac:dyDescent="0.2">
      <c r="B1505" s="42">
        <v>1164</v>
      </c>
      <c r="C1505" s="5" t="s">
        <v>6190</v>
      </c>
      <c r="D1505" s="5" t="s">
        <v>6191</v>
      </c>
      <c r="E1505" s="6" t="s">
        <v>6192</v>
      </c>
      <c r="F1505" s="10"/>
      <c r="G1505" s="11" t="s">
        <v>6193</v>
      </c>
      <c r="H1505" s="12">
        <v>30</v>
      </c>
      <c r="I1505" s="13" t="s">
        <v>41</v>
      </c>
      <c r="J1505" s="13"/>
      <c r="K1505" s="13"/>
      <c r="L1505" s="4">
        <v>6</v>
      </c>
      <c r="M1505" s="14">
        <f>109*(1-P3/100)</f>
        <v>109</v>
      </c>
      <c r="N1505" s="15"/>
      <c r="O1505" s="13">
        <f t="shared" si="64"/>
        <v>0</v>
      </c>
      <c r="P1505" s="22">
        <f>0.067*N1505</f>
        <v>0</v>
      </c>
      <c r="Q1505" s="30">
        <f>0.0002*N1505</f>
        <v>0</v>
      </c>
      <c r="R1505" s="24"/>
      <c r="S1505" s="25" t="s">
        <v>6194</v>
      </c>
      <c r="T1505" s="25" t="s">
        <v>43</v>
      </c>
      <c r="U1505" s="5"/>
      <c r="V1505" s="5"/>
      <c r="W1505" s="5" t="s">
        <v>46</v>
      </c>
      <c r="X1505" s="5"/>
      <c r="Y1505" s="5"/>
      <c r="Z1505" s="5" t="str">
        <f>HYPERLINK("https://knigipp.ru/api/getInfo/image/52fc83e6-8867-11ee-a249-00155d82e902")</f>
        <v>https://knigipp.ru/api/getInfo/image/52fc83e6-8867-11ee-a249-00155d82e902</v>
      </c>
      <c r="AA1505" s="33">
        <v>12</v>
      </c>
      <c r="AB1505" s="5" t="s">
        <v>47</v>
      </c>
      <c r="AC1505" s="5" t="s">
        <v>96</v>
      </c>
      <c r="AD1505" s="5"/>
      <c r="AE1505" s="5" t="s">
        <v>49</v>
      </c>
      <c r="AF1505" s="5"/>
      <c r="AG1505" s="5"/>
      <c r="AH1505" s="5" t="s">
        <v>6189</v>
      </c>
    </row>
    <row r="1506" spans="2:34" ht="21" customHeight="1" outlineLevel="5" x14ac:dyDescent="0.2">
      <c r="B1506" s="42">
        <v>1165</v>
      </c>
      <c r="C1506" s="5" t="s">
        <v>6195</v>
      </c>
      <c r="D1506" s="5" t="s">
        <v>6196</v>
      </c>
      <c r="E1506" s="6" t="s">
        <v>6197</v>
      </c>
      <c r="F1506" s="10"/>
      <c r="G1506" s="11" t="s">
        <v>6186</v>
      </c>
      <c r="H1506" s="12">
        <v>30</v>
      </c>
      <c r="I1506" s="13" t="s">
        <v>41</v>
      </c>
      <c r="J1506" s="13"/>
      <c r="K1506" s="13"/>
      <c r="L1506" s="4">
        <v>6</v>
      </c>
      <c r="M1506" s="14">
        <f>109*(1-P3/100)</f>
        <v>109</v>
      </c>
      <c r="N1506" s="15"/>
      <c r="O1506" s="13">
        <f t="shared" si="64"/>
        <v>0</v>
      </c>
      <c r="P1506" s="22">
        <f>0.065*N1506</f>
        <v>0</v>
      </c>
      <c r="Q1506" s="23">
        <f>0.00041*N1506</f>
        <v>0</v>
      </c>
      <c r="R1506" s="24"/>
      <c r="S1506" s="25" t="s">
        <v>6198</v>
      </c>
      <c r="T1506" s="25" t="s">
        <v>43</v>
      </c>
      <c r="U1506" s="5"/>
      <c r="V1506" s="5" t="s">
        <v>6199</v>
      </c>
      <c r="W1506" s="5" t="s">
        <v>46</v>
      </c>
      <c r="X1506" s="5"/>
      <c r="Y1506" s="5"/>
      <c r="Z1506" s="5" t="str">
        <f>HYPERLINK("https://knigipp.ru/api/getInfo/image/6c2987f2-edd9-11ee-a25b-00155d82e908")</f>
        <v>https://knigipp.ru/api/getInfo/image/6c2987f2-edd9-11ee-a25b-00155d82e908</v>
      </c>
      <c r="AA1506" s="33">
        <v>12</v>
      </c>
      <c r="AB1506" s="5" t="s">
        <v>47</v>
      </c>
      <c r="AC1506" s="5" t="s">
        <v>96</v>
      </c>
      <c r="AD1506" s="5"/>
      <c r="AE1506" s="5" t="s">
        <v>49</v>
      </c>
      <c r="AF1506" s="5"/>
      <c r="AG1506" s="5"/>
      <c r="AH1506" s="5" t="s">
        <v>6189</v>
      </c>
    </row>
    <row r="1507" spans="2:34" ht="21" customHeight="1" outlineLevel="5" x14ac:dyDescent="0.2">
      <c r="B1507" s="42">
        <v>1166</v>
      </c>
      <c r="C1507" s="5" t="s">
        <v>6200</v>
      </c>
      <c r="D1507" s="5" t="s">
        <v>6201</v>
      </c>
      <c r="E1507" s="6" t="s">
        <v>6202</v>
      </c>
      <c r="F1507" s="10"/>
      <c r="G1507" s="11" t="s">
        <v>6186</v>
      </c>
      <c r="H1507" s="12">
        <v>30</v>
      </c>
      <c r="I1507" s="13" t="s">
        <v>41</v>
      </c>
      <c r="J1507" s="13"/>
      <c r="K1507" s="13"/>
      <c r="L1507" s="4">
        <v>6</v>
      </c>
      <c r="M1507" s="14">
        <f>109*(1-P3/100)</f>
        <v>109</v>
      </c>
      <c r="N1507" s="15"/>
      <c r="O1507" s="13">
        <f t="shared" si="64"/>
        <v>0</v>
      </c>
      <c r="P1507" s="22">
        <f>0.067*N1507</f>
        <v>0</v>
      </c>
      <c r="Q1507" s="30">
        <f>0.0003*N1507</f>
        <v>0</v>
      </c>
      <c r="R1507" s="24"/>
      <c r="S1507" s="25" t="s">
        <v>6203</v>
      </c>
      <c r="T1507" s="25" t="s">
        <v>43</v>
      </c>
      <c r="U1507" s="5"/>
      <c r="V1507" s="5" t="s">
        <v>6204</v>
      </c>
      <c r="W1507" s="5" t="s">
        <v>46</v>
      </c>
      <c r="X1507" s="5"/>
      <c r="Y1507" s="5"/>
      <c r="Z1507" s="5" t="str">
        <f>HYPERLINK("https://knigipp.ru/api/getInfo/image/2734e79d-edd9-11ee-a25b-00155d82e908")</f>
        <v>https://knigipp.ru/api/getInfo/image/2734e79d-edd9-11ee-a25b-00155d82e908</v>
      </c>
      <c r="AA1507" s="33">
        <v>12</v>
      </c>
      <c r="AB1507" s="5" t="s">
        <v>47</v>
      </c>
      <c r="AC1507" s="5" t="s">
        <v>96</v>
      </c>
      <c r="AD1507" s="5"/>
      <c r="AE1507" s="5" t="s">
        <v>49</v>
      </c>
      <c r="AF1507" s="5"/>
      <c r="AG1507" s="5"/>
      <c r="AH1507" s="5" t="s">
        <v>6189</v>
      </c>
    </row>
    <row r="1508" spans="2:34" ht="21" customHeight="1" outlineLevel="5" x14ac:dyDescent="0.2">
      <c r="B1508" s="42">
        <v>1167</v>
      </c>
      <c r="C1508" s="5" t="s">
        <v>6205</v>
      </c>
      <c r="D1508" s="5" t="s">
        <v>6206</v>
      </c>
      <c r="E1508" s="6" t="s">
        <v>6207</v>
      </c>
      <c r="F1508" s="10"/>
      <c r="G1508" s="11" t="s">
        <v>6193</v>
      </c>
      <c r="H1508" s="12">
        <v>30</v>
      </c>
      <c r="I1508" s="13" t="s">
        <v>41</v>
      </c>
      <c r="J1508" s="13"/>
      <c r="K1508" s="13"/>
      <c r="L1508" s="4">
        <v>6</v>
      </c>
      <c r="M1508" s="14">
        <f>109*(1-P3/100)</f>
        <v>109</v>
      </c>
      <c r="N1508" s="15"/>
      <c r="O1508" s="13">
        <f t="shared" si="64"/>
        <v>0</v>
      </c>
      <c r="P1508" s="22">
        <f>0.068*N1508</f>
        <v>0</v>
      </c>
      <c r="Q1508" s="23">
        <f>0.00015*N1508</f>
        <v>0</v>
      </c>
      <c r="R1508" s="24"/>
      <c r="S1508" s="25" t="s">
        <v>6208</v>
      </c>
      <c r="T1508" s="25" t="s">
        <v>43</v>
      </c>
      <c r="U1508" s="5"/>
      <c r="V1508" s="5"/>
      <c r="W1508" s="5" t="s">
        <v>46</v>
      </c>
      <c r="X1508" s="5"/>
      <c r="Y1508" s="5"/>
      <c r="Z1508" s="5" t="str">
        <f>HYPERLINK("https://knigipp.ru/api/getInfo/image/fd8d8060-8866-11ee-a249-00155d82e902")</f>
        <v>https://knigipp.ru/api/getInfo/image/fd8d8060-8866-11ee-a249-00155d82e902</v>
      </c>
      <c r="AA1508" s="33">
        <v>12</v>
      </c>
      <c r="AB1508" s="5" t="s">
        <v>47</v>
      </c>
      <c r="AC1508" s="5" t="s">
        <v>96</v>
      </c>
      <c r="AD1508" s="5"/>
      <c r="AE1508" s="5" t="s">
        <v>49</v>
      </c>
      <c r="AF1508" s="5"/>
      <c r="AG1508" s="5"/>
      <c r="AH1508" s="5" t="s">
        <v>6189</v>
      </c>
    </row>
    <row r="1509" spans="2:34" ht="21" customHeight="1" outlineLevel="5" x14ac:dyDescent="0.2">
      <c r="B1509" s="42">
        <v>1168</v>
      </c>
      <c r="C1509" s="5" t="s">
        <v>6209</v>
      </c>
      <c r="D1509" s="5" t="s">
        <v>6210</v>
      </c>
      <c r="E1509" s="6" t="s">
        <v>6211</v>
      </c>
      <c r="F1509" s="10"/>
      <c r="G1509" s="11" t="s">
        <v>6186</v>
      </c>
      <c r="H1509" s="12">
        <v>30</v>
      </c>
      <c r="I1509" s="13" t="s">
        <v>41</v>
      </c>
      <c r="J1509" s="13"/>
      <c r="K1509" s="13"/>
      <c r="L1509" s="4">
        <v>6</v>
      </c>
      <c r="M1509" s="14">
        <f>109*(1-P3/100)</f>
        <v>109</v>
      </c>
      <c r="N1509" s="15"/>
      <c r="O1509" s="13">
        <f t="shared" si="64"/>
        <v>0</v>
      </c>
      <c r="P1509" s="22">
        <f>0.074*N1509</f>
        <v>0</v>
      </c>
      <c r="Q1509" s="30">
        <f>0.0002*N1509</f>
        <v>0</v>
      </c>
      <c r="R1509" s="24"/>
      <c r="S1509" s="25" t="s">
        <v>6212</v>
      </c>
      <c r="T1509" s="25" t="s">
        <v>43</v>
      </c>
      <c r="U1509" s="5"/>
      <c r="V1509" s="5" t="s">
        <v>6213</v>
      </c>
      <c r="W1509" s="5" t="s">
        <v>46</v>
      </c>
      <c r="X1509" s="5"/>
      <c r="Y1509" s="5"/>
      <c r="Z1509" s="5" t="str">
        <f>HYPERLINK("https://knigipp.ru/api/getInfo/image/4af83c91-edd9-11ee-a25b-00155d82e908")</f>
        <v>https://knigipp.ru/api/getInfo/image/4af83c91-edd9-11ee-a25b-00155d82e908</v>
      </c>
      <c r="AA1509" s="33">
        <v>12</v>
      </c>
      <c r="AB1509" s="5" t="s">
        <v>47</v>
      </c>
      <c r="AC1509" s="5" t="s">
        <v>96</v>
      </c>
      <c r="AD1509" s="5"/>
      <c r="AE1509" s="5" t="s">
        <v>49</v>
      </c>
      <c r="AF1509" s="5"/>
      <c r="AG1509" s="5"/>
      <c r="AH1509" s="5" t="s">
        <v>6189</v>
      </c>
    </row>
    <row r="1510" spans="2:34" ht="21" customHeight="1" outlineLevel="5" x14ac:dyDescent="0.2">
      <c r="B1510" s="42">
        <v>1169</v>
      </c>
      <c r="C1510" s="5" t="s">
        <v>6214</v>
      </c>
      <c r="D1510" s="5" t="s">
        <v>6215</v>
      </c>
      <c r="E1510" s="6" t="s">
        <v>6216</v>
      </c>
      <c r="F1510" s="10"/>
      <c r="G1510" s="11" t="s">
        <v>6193</v>
      </c>
      <c r="H1510" s="12">
        <v>30</v>
      </c>
      <c r="I1510" s="13" t="s">
        <v>41</v>
      </c>
      <c r="J1510" s="13"/>
      <c r="K1510" s="13"/>
      <c r="L1510" s="4">
        <v>6</v>
      </c>
      <c r="M1510" s="14">
        <f>109*(1-P3/100)</f>
        <v>109</v>
      </c>
      <c r="N1510" s="15"/>
      <c r="O1510" s="13">
        <f t="shared" si="64"/>
        <v>0</v>
      </c>
      <c r="P1510" s="13">
        <v>0</v>
      </c>
      <c r="Q1510" s="13">
        <v>0</v>
      </c>
      <c r="R1510" s="24"/>
      <c r="S1510" s="25" t="s">
        <v>6217</v>
      </c>
      <c r="T1510" s="25" t="s">
        <v>43</v>
      </c>
      <c r="U1510" s="5"/>
      <c r="V1510" s="5"/>
      <c r="W1510" s="5" t="s">
        <v>46</v>
      </c>
      <c r="X1510" s="5"/>
      <c r="Y1510" s="5"/>
      <c r="Z1510" s="5" t="str">
        <f>HYPERLINK("https://knigipp.ru/api/getInfo/image/d01b9016-8866-11ee-a249-00155d82e902")</f>
        <v>https://knigipp.ru/api/getInfo/image/d01b9016-8866-11ee-a249-00155d82e902</v>
      </c>
      <c r="AA1510" s="33">
        <v>12</v>
      </c>
      <c r="AB1510" s="5" t="s">
        <v>47</v>
      </c>
      <c r="AC1510" s="5" t="s">
        <v>96</v>
      </c>
      <c r="AD1510" s="5"/>
      <c r="AE1510" s="5" t="s">
        <v>49</v>
      </c>
      <c r="AF1510" s="5"/>
      <c r="AG1510" s="5"/>
      <c r="AH1510" s="5" t="s">
        <v>6189</v>
      </c>
    </row>
    <row r="1511" spans="2:34" ht="22.95" customHeight="1" outlineLevel="4" x14ac:dyDescent="0.2">
      <c r="B1511" s="75" t="s">
        <v>6218</v>
      </c>
      <c r="C1511" s="75"/>
      <c r="D1511" s="75"/>
    </row>
    <row r="1512" spans="2:34" ht="21" customHeight="1" outlineLevel="5" x14ac:dyDescent="0.2">
      <c r="B1512" s="42">
        <v>1170</v>
      </c>
      <c r="C1512" s="5" t="s">
        <v>6219</v>
      </c>
      <c r="D1512" s="5" t="s">
        <v>6220</v>
      </c>
      <c r="E1512" s="6" t="s">
        <v>6221</v>
      </c>
      <c r="F1512" s="10"/>
      <c r="G1512" s="11" t="s">
        <v>6222</v>
      </c>
      <c r="H1512" s="12">
        <v>50</v>
      </c>
      <c r="I1512" s="13" t="s">
        <v>371</v>
      </c>
      <c r="J1512" s="13"/>
      <c r="K1512" s="13"/>
      <c r="L1512" s="4">
        <v>4</v>
      </c>
      <c r="M1512" s="14">
        <f>159*(1-P3/100)</f>
        <v>159</v>
      </c>
      <c r="N1512" s="15"/>
      <c r="O1512" s="13">
        <f>M1512*N1512</f>
        <v>0</v>
      </c>
      <c r="P1512" s="32">
        <f>0.05*N1512</f>
        <v>0</v>
      </c>
      <c r="Q1512" s="30">
        <f>0.0001*N1512</f>
        <v>0</v>
      </c>
      <c r="R1512" s="24"/>
      <c r="S1512" s="25" t="s">
        <v>6223</v>
      </c>
      <c r="T1512" s="25" t="s">
        <v>43</v>
      </c>
      <c r="U1512" s="5"/>
      <c r="V1512" s="5"/>
      <c r="W1512" s="5" t="s">
        <v>46</v>
      </c>
      <c r="X1512" s="5"/>
      <c r="Y1512" s="5"/>
      <c r="Z1512" s="5" t="str">
        <f>HYPERLINK("https://knigipp.ru/api/getInfo/image/d113c429-eddb-11ee-a25b-00155d82e908")</f>
        <v>https://knigipp.ru/api/getInfo/image/d113c429-eddb-11ee-a25b-00155d82e908</v>
      </c>
      <c r="AA1512" s="5"/>
      <c r="AB1512" s="5"/>
      <c r="AC1512" s="5" t="s">
        <v>3375</v>
      </c>
      <c r="AD1512" s="5"/>
      <c r="AE1512" s="5" t="s">
        <v>49</v>
      </c>
      <c r="AF1512" s="5"/>
      <c r="AG1512" s="5"/>
      <c r="AH1512" s="5" t="s">
        <v>6224</v>
      </c>
    </row>
    <row r="1513" spans="2:34" ht="22.95" customHeight="1" outlineLevel="4" x14ac:dyDescent="0.2">
      <c r="B1513" s="75" t="s">
        <v>6225</v>
      </c>
      <c r="C1513" s="75"/>
      <c r="D1513" s="75"/>
    </row>
    <row r="1514" spans="2:34" ht="21" customHeight="1" outlineLevel="5" x14ac:dyDescent="0.2">
      <c r="B1514" s="42">
        <v>1171</v>
      </c>
      <c r="C1514" s="5" t="s">
        <v>6226</v>
      </c>
      <c r="D1514" s="5" t="s">
        <v>6227</v>
      </c>
      <c r="E1514" s="6" t="s">
        <v>6228</v>
      </c>
      <c r="F1514" s="10"/>
      <c r="G1514" s="11" t="s">
        <v>6229</v>
      </c>
      <c r="H1514" s="12">
        <v>30</v>
      </c>
      <c r="I1514" s="13" t="s">
        <v>41</v>
      </c>
      <c r="J1514" s="13"/>
      <c r="K1514" s="13"/>
      <c r="L1514" s="4">
        <v>3</v>
      </c>
      <c r="M1514" s="14">
        <f>217*(1-P3/100)</f>
        <v>217</v>
      </c>
      <c r="N1514" s="15"/>
      <c r="O1514" s="13">
        <f>M1514*N1514</f>
        <v>0</v>
      </c>
      <c r="P1514" s="13">
        <v>0</v>
      </c>
      <c r="Q1514" s="13">
        <v>0</v>
      </c>
      <c r="R1514" s="24"/>
      <c r="S1514" s="25" t="s">
        <v>6230</v>
      </c>
      <c r="T1514" s="25" t="s">
        <v>43</v>
      </c>
      <c r="U1514" s="5"/>
      <c r="V1514" s="5" t="s">
        <v>6231</v>
      </c>
      <c r="W1514" s="5" t="s">
        <v>46</v>
      </c>
      <c r="X1514" s="5"/>
      <c r="Y1514" s="5"/>
      <c r="Z1514" s="5" t="str">
        <f>HYPERLINK("https://knigipp.ru/api/getInfo/image/ddeace99-4f38-11ef-a262-00155d82e908")</f>
        <v>https://knigipp.ru/api/getInfo/image/ddeace99-4f38-11ef-a262-00155d82e908</v>
      </c>
      <c r="AA1514" s="33">
        <v>8</v>
      </c>
      <c r="AB1514" s="5" t="s">
        <v>47</v>
      </c>
      <c r="AC1514" s="5" t="s">
        <v>219</v>
      </c>
      <c r="AD1514" s="5"/>
      <c r="AE1514" s="5" t="s">
        <v>49</v>
      </c>
      <c r="AF1514" s="5"/>
      <c r="AG1514" s="5"/>
      <c r="AH1514" s="5" t="s">
        <v>6232</v>
      </c>
    </row>
    <row r="1515" spans="2:34" ht="21" customHeight="1" outlineLevel="5" x14ac:dyDescent="0.2">
      <c r="B1515" s="42">
        <v>1172</v>
      </c>
      <c r="C1515" s="5" t="s">
        <v>6233</v>
      </c>
      <c r="D1515" s="5" t="s">
        <v>6234</v>
      </c>
      <c r="E1515" s="6" t="s">
        <v>6235</v>
      </c>
      <c r="F1515" s="10"/>
      <c r="G1515" s="11" t="s">
        <v>6229</v>
      </c>
      <c r="H1515" s="12">
        <v>30</v>
      </c>
      <c r="I1515" s="13" t="s">
        <v>41</v>
      </c>
      <c r="J1515" s="13"/>
      <c r="K1515" s="13"/>
      <c r="L1515" s="4">
        <v>3</v>
      </c>
      <c r="M1515" s="14">
        <f>217*(1-P3/100)</f>
        <v>217</v>
      </c>
      <c r="N1515" s="15"/>
      <c r="O1515" s="13">
        <f>M1515*N1515</f>
        <v>0</v>
      </c>
      <c r="P1515" s="13">
        <v>0</v>
      </c>
      <c r="Q1515" s="13">
        <v>0</v>
      </c>
      <c r="R1515" s="24"/>
      <c r="S1515" s="25" t="s">
        <v>6236</v>
      </c>
      <c r="T1515" s="25" t="s">
        <v>43</v>
      </c>
      <c r="U1515" s="5"/>
      <c r="V1515" s="5" t="s">
        <v>6237</v>
      </c>
      <c r="W1515" s="5" t="s">
        <v>46</v>
      </c>
      <c r="X1515" s="5"/>
      <c r="Y1515" s="5"/>
      <c r="Z1515" s="5" t="str">
        <f>HYPERLINK("https://knigipp.ru/api/getInfo/image/41c88c89-4f39-11ef-a262-00155d82e908")</f>
        <v>https://knigipp.ru/api/getInfo/image/41c88c89-4f39-11ef-a262-00155d82e908</v>
      </c>
      <c r="AA1515" s="33">
        <v>8</v>
      </c>
      <c r="AB1515" s="5" t="s">
        <v>47</v>
      </c>
      <c r="AC1515" s="5" t="s">
        <v>219</v>
      </c>
      <c r="AD1515" s="5"/>
      <c r="AE1515" s="5" t="s">
        <v>49</v>
      </c>
      <c r="AF1515" s="5"/>
      <c r="AG1515" s="5"/>
      <c r="AH1515" s="5" t="s">
        <v>6232</v>
      </c>
    </row>
    <row r="1516" spans="2:34" ht="21" customHeight="1" outlineLevel="5" x14ac:dyDescent="0.2">
      <c r="B1516" s="42">
        <v>1173</v>
      </c>
      <c r="C1516" s="5" t="s">
        <v>6238</v>
      </c>
      <c r="D1516" s="5" t="s">
        <v>6239</v>
      </c>
      <c r="E1516" s="6" t="s">
        <v>6240</v>
      </c>
      <c r="F1516" s="10"/>
      <c r="G1516" s="11" t="s">
        <v>6229</v>
      </c>
      <c r="H1516" s="12">
        <v>30</v>
      </c>
      <c r="I1516" s="13" t="s">
        <v>41</v>
      </c>
      <c r="J1516" s="13"/>
      <c r="K1516" s="13"/>
      <c r="L1516" s="4">
        <v>3</v>
      </c>
      <c r="M1516" s="14">
        <f>217*(1-P3/100)</f>
        <v>217</v>
      </c>
      <c r="N1516" s="15"/>
      <c r="O1516" s="13">
        <f>M1516*N1516</f>
        <v>0</v>
      </c>
      <c r="P1516" s="13">
        <v>0</v>
      </c>
      <c r="Q1516" s="13">
        <v>0</v>
      </c>
      <c r="R1516" s="24"/>
      <c r="S1516" s="25" t="s">
        <v>6241</v>
      </c>
      <c r="T1516" s="25" t="s">
        <v>43</v>
      </c>
      <c r="U1516" s="5"/>
      <c r="V1516" s="5" t="s">
        <v>6242</v>
      </c>
      <c r="W1516" s="5" t="s">
        <v>46</v>
      </c>
      <c r="X1516" s="5" t="s">
        <v>6243</v>
      </c>
      <c r="Y1516" s="5"/>
      <c r="Z1516" s="5" t="str">
        <f>HYPERLINK("https://knigipp.ru/api/getInfo/image/7386b84c-4f39-11ef-a262-00155d82e908")</f>
        <v>https://knigipp.ru/api/getInfo/image/7386b84c-4f39-11ef-a262-00155d82e908</v>
      </c>
      <c r="AA1516" s="33">
        <v>8</v>
      </c>
      <c r="AB1516" s="5"/>
      <c r="AC1516" s="5" t="s">
        <v>219</v>
      </c>
      <c r="AD1516" s="5"/>
      <c r="AE1516" s="5" t="s">
        <v>49</v>
      </c>
      <c r="AF1516" s="5"/>
      <c r="AG1516" s="5"/>
      <c r="AH1516" s="5" t="s">
        <v>6232</v>
      </c>
    </row>
    <row r="1517" spans="2:34" ht="21" customHeight="1" outlineLevel="5" x14ac:dyDescent="0.2">
      <c r="B1517" s="42">
        <v>1174</v>
      </c>
      <c r="C1517" s="5" t="s">
        <v>6244</v>
      </c>
      <c r="D1517" s="5" t="s">
        <v>6245</v>
      </c>
      <c r="E1517" s="6" t="s">
        <v>6246</v>
      </c>
      <c r="F1517" s="10"/>
      <c r="G1517" s="11" t="s">
        <v>6229</v>
      </c>
      <c r="H1517" s="12">
        <v>30</v>
      </c>
      <c r="I1517" s="13" t="s">
        <v>41</v>
      </c>
      <c r="J1517" s="13"/>
      <c r="K1517" s="13"/>
      <c r="L1517" s="4">
        <v>3</v>
      </c>
      <c r="M1517" s="14">
        <f>217*(1-P3/100)</f>
        <v>217</v>
      </c>
      <c r="N1517" s="15"/>
      <c r="O1517" s="13">
        <f>M1517*N1517</f>
        <v>0</v>
      </c>
      <c r="P1517" s="13">
        <v>0</v>
      </c>
      <c r="Q1517" s="13">
        <v>0</v>
      </c>
      <c r="R1517" s="24"/>
      <c r="S1517" s="25" t="s">
        <v>6247</v>
      </c>
      <c r="T1517" s="25" t="s">
        <v>43</v>
      </c>
      <c r="U1517" s="5"/>
      <c r="V1517" s="5" t="s">
        <v>6248</v>
      </c>
      <c r="W1517" s="5" t="s">
        <v>46</v>
      </c>
      <c r="X1517" s="5" t="s">
        <v>6243</v>
      </c>
      <c r="Y1517" s="5"/>
      <c r="Z1517" s="5" t="str">
        <f>HYPERLINK("https://knigipp.ru/api/getInfo/image/9e24ac39-4f39-11ef-a262-00155d82e908")</f>
        <v>https://knigipp.ru/api/getInfo/image/9e24ac39-4f39-11ef-a262-00155d82e908</v>
      </c>
      <c r="AA1517" s="33">
        <v>8</v>
      </c>
      <c r="AB1517" s="5" t="s">
        <v>47</v>
      </c>
      <c r="AC1517" s="5" t="s">
        <v>219</v>
      </c>
      <c r="AD1517" s="5"/>
      <c r="AE1517" s="5" t="s">
        <v>49</v>
      </c>
      <c r="AF1517" s="5"/>
      <c r="AG1517" s="5"/>
      <c r="AH1517" s="5" t="s">
        <v>6232</v>
      </c>
    </row>
    <row r="1518" spans="2:34" ht="22.95" customHeight="1" outlineLevel="4" x14ac:dyDescent="0.2">
      <c r="B1518" s="75" t="s">
        <v>6249</v>
      </c>
      <c r="C1518" s="75"/>
      <c r="D1518" s="75"/>
    </row>
    <row r="1519" spans="2:34" ht="21" customHeight="1" outlineLevel="5" x14ac:dyDescent="0.2">
      <c r="B1519" s="42">
        <v>1175</v>
      </c>
      <c r="C1519" s="5" t="s">
        <v>6250</v>
      </c>
      <c r="D1519" s="5" t="s">
        <v>6251</v>
      </c>
      <c r="E1519" s="6" t="s">
        <v>6252</v>
      </c>
      <c r="F1519" s="10"/>
      <c r="G1519" s="11" t="s">
        <v>6253</v>
      </c>
      <c r="H1519" s="12">
        <v>30</v>
      </c>
      <c r="I1519" s="13" t="s">
        <v>41</v>
      </c>
      <c r="J1519" s="13"/>
      <c r="K1519" s="13"/>
      <c r="L1519" s="4">
        <v>4</v>
      </c>
      <c r="M1519" s="14">
        <f>147*(1-P3/100)</f>
        <v>147</v>
      </c>
      <c r="N1519" s="15"/>
      <c r="O1519" s="13">
        <f t="shared" ref="O1519:O1528" si="65">M1519*N1519</f>
        <v>0</v>
      </c>
      <c r="P1519" s="22">
        <f>0.048*N1519</f>
        <v>0</v>
      </c>
      <c r="Q1519" s="23">
        <f>0.00007*N1519</f>
        <v>0</v>
      </c>
      <c r="R1519" s="24"/>
      <c r="S1519" s="25" t="s">
        <v>6254</v>
      </c>
      <c r="T1519" s="25" t="s">
        <v>43</v>
      </c>
      <c r="U1519" s="5"/>
      <c r="V1519" s="5" t="s">
        <v>6255</v>
      </c>
      <c r="W1519" s="5" t="s">
        <v>46</v>
      </c>
      <c r="X1519" s="5" t="s">
        <v>6256</v>
      </c>
      <c r="Y1519" s="5"/>
      <c r="Z1519" s="5" t="str">
        <f>HYPERLINK("https://knigipp.ru/api/getInfo/image/732ff861-0465-11ef-a25d-00155d82e908")</f>
        <v>https://knigipp.ru/api/getInfo/image/732ff861-0465-11ef-a25d-00155d82e908</v>
      </c>
      <c r="AA1519" s="33">
        <v>8</v>
      </c>
      <c r="AB1519" s="5" t="s">
        <v>47</v>
      </c>
      <c r="AC1519" s="5" t="s">
        <v>96</v>
      </c>
      <c r="AD1519" s="5"/>
      <c r="AE1519" s="5" t="s">
        <v>49</v>
      </c>
      <c r="AF1519" s="5"/>
      <c r="AG1519" s="5"/>
      <c r="AH1519" s="5" t="s">
        <v>3351</v>
      </c>
    </row>
    <row r="1520" spans="2:34" ht="21" customHeight="1" outlineLevel="5" x14ac:dyDescent="0.2">
      <c r="B1520" s="42">
        <v>1176</v>
      </c>
      <c r="C1520" s="5" t="s">
        <v>6257</v>
      </c>
      <c r="D1520" s="5" t="s">
        <v>6258</v>
      </c>
      <c r="E1520" s="6" t="s">
        <v>6259</v>
      </c>
      <c r="F1520" s="10"/>
      <c r="G1520" s="11" t="s">
        <v>6260</v>
      </c>
      <c r="H1520" s="12">
        <v>30</v>
      </c>
      <c r="I1520" s="13" t="s">
        <v>41</v>
      </c>
      <c r="J1520" s="13"/>
      <c r="K1520" s="13"/>
      <c r="L1520" s="4">
        <v>4</v>
      </c>
      <c r="M1520" s="14">
        <f>147*(1-P3/100)</f>
        <v>147</v>
      </c>
      <c r="N1520" s="15"/>
      <c r="O1520" s="13">
        <f t="shared" si="65"/>
        <v>0</v>
      </c>
      <c r="P1520" s="22">
        <f>0.048*N1520</f>
        <v>0</v>
      </c>
      <c r="Q1520" s="23">
        <f>0.00007*N1520</f>
        <v>0</v>
      </c>
      <c r="R1520" s="24"/>
      <c r="S1520" s="25" t="s">
        <v>6261</v>
      </c>
      <c r="T1520" s="25" t="s">
        <v>43</v>
      </c>
      <c r="U1520" s="5"/>
      <c r="V1520" s="5" t="s">
        <v>6262</v>
      </c>
      <c r="W1520" s="5" t="s">
        <v>46</v>
      </c>
      <c r="X1520" s="5"/>
      <c r="Y1520" s="5"/>
      <c r="Z1520" s="5" t="str">
        <f>HYPERLINK("https://knigipp.ru/api/getInfo/image/3eb529a5-0463-11ef-a25d-00155d82e908")</f>
        <v>https://knigipp.ru/api/getInfo/image/3eb529a5-0463-11ef-a25d-00155d82e908</v>
      </c>
      <c r="AA1520" s="33">
        <v>8</v>
      </c>
      <c r="AB1520" s="5" t="s">
        <v>47</v>
      </c>
      <c r="AC1520" s="5" t="s">
        <v>96</v>
      </c>
      <c r="AD1520" s="5"/>
      <c r="AE1520" s="5" t="s">
        <v>49</v>
      </c>
      <c r="AF1520" s="5"/>
      <c r="AG1520" s="5"/>
      <c r="AH1520" s="5" t="s">
        <v>3351</v>
      </c>
    </row>
    <row r="1521" spans="2:34" ht="21" customHeight="1" outlineLevel="5" x14ac:dyDescent="0.2">
      <c r="B1521" s="42">
        <v>1177</v>
      </c>
      <c r="C1521" s="5" t="s">
        <v>6263</v>
      </c>
      <c r="D1521" s="5" t="s">
        <v>6264</v>
      </c>
      <c r="E1521" s="6" t="s">
        <v>6265</v>
      </c>
      <c r="F1521" s="10"/>
      <c r="G1521" s="11" t="s">
        <v>6260</v>
      </c>
      <c r="H1521" s="12">
        <v>30</v>
      </c>
      <c r="I1521" s="13" t="s">
        <v>41</v>
      </c>
      <c r="J1521" s="13"/>
      <c r="K1521" s="13"/>
      <c r="L1521" s="4">
        <v>4</v>
      </c>
      <c r="M1521" s="14">
        <f>147*(1-P3/100)</f>
        <v>147</v>
      </c>
      <c r="N1521" s="15"/>
      <c r="O1521" s="13">
        <f t="shared" si="65"/>
        <v>0</v>
      </c>
      <c r="P1521" s="22">
        <f>0.048*N1521</f>
        <v>0</v>
      </c>
      <c r="Q1521" s="23">
        <f>0.00007*N1521</f>
        <v>0</v>
      </c>
      <c r="R1521" s="24"/>
      <c r="S1521" s="25" t="s">
        <v>6266</v>
      </c>
      <c r="T1521" s="25" t="s">
        <v>43</v>
      </c>
      <c r="U1521" s="5"/>
      <c r="V1521" s="5" t="s">
        <v>6267</v>
      </c>
      <c r="W1521" s="5" t="s">
        <v>46</v>
      </c>
      <c r="X1521" s="5"/>
      <c r="Y1521" s="5"/>
      <c r="Z1521" s="5" t="str">
        <f>HYPERLINK("https://knigipp.ru/api/getInfo/image/6064df1b-0463-11ef-a25d-00155d82e908")</f>
        <v>https://knigipp.ru/api/getInfo/image/6064df1b-0463-11ef-a25d-00155d82e908</v>
      </c>
      <c r="AA1521" s="33">
        <v>8</v>
      </c>
      <c r="AB1521" s="5" t="s">
        <v>47</v>
      </c>
      <c r="AC1521" s="5" t="s">
        <v>96</v>
      </c>
      <c r="AD1521" s="5"/>
      <c r="AE1521" s="5" t="s">
        <v>49</v>
      </c>
      <c r="AF1521" s="5"/>
      <c r="AG1521" s="5"/>
      <c r="AH1521" s="5" t="s">
        <v>3351</v>
      </c>
    </row>
    <row r="1522" spans="2:34" ht="21" customHeight="1" outlineLevel="5" x14ac:dyDescent="0.2">
      <c r="B1522" s="42">
        <v>1178</v>
      </c>
      <c r="C1522" s="5" t="s">
        <v>6268</v>
      </c>
      <c r="D1522" s="5" t="s">
        <v>6269</v>
      </c>
      <c r="E1522" s="6" t="s">
        <v>6270</v>
      </c>
      <c r="F1522" s="10"/>
      <c r="G1522" s="11" t="s">
        <v>6260</v>
      </c>
      <c r="H1522" s="12">
        <v>30</v>
      </c>
      <c r="I1522" s="13" t="s">
        <v>41</v>
      </c>
      <c r="J1522" s="13"/>
      <c r="K1522" s="13"/>
      <c r="L1522" s="4">
        <v>4</v>
      </c>
      <c r="M1522" s="14">
        <f>147*(1-P3/100)</f>
        <v>147</v>
      </c>
      <c r="N1522" s="15"/>
      <c r="O1522" s="13">
        <f t="shared" si="65"/>
        <v>0</v>
      </c>
      <c r="P1522" s="22">
        <f>0.048*N1522</f>
        <v>0</v>
      </c>
      <c r="Q1522" s="23">
        <f>0.00007*N1522</f>
        <v>0</v>
      </c>
      <c r="R1522" s="24"/>
      <c r="S1522" s="25" t="s">
        <v>6271</v>
      </c>
      <c r="T1522" s="25" t="s">
        <v>43</v>
      </c>
      <c r="U1522" s="5"/>
      <c r="V1522" s="5" t="s">
        <v>6272</v>
      </c>
      <c r="W1522" s="5" t="s">
        <v>46</v>
      </c>
      <c r="X1522" s="5" t="s">
        <v>6256</v>
      </c>
      <c r="Y1522" s="5"/>
      <c r="Z1522" s="5" t="str">
        <f>HYPERLINK("https://knigipp.ru/api/getInfo/image/97687008-0463-11ef-a25d-00155d82e908")</f>
        <v>https://knigipp.ru/api/getInfo/image/97687008-0463-11ef-a25d-00155d82e908</v>
      </c>
      <c r="AA1522" s="33">
        <v>8</v>
      </c>
      <c r="AB1522" s="5" t="s">
        <v>47</v>
      </c>
      <c r="AC1522" s="5" t="s">
        <v>96</v>
      </c>
      <c r="AD1522" s="5"/>
      <c r="AE1522" s="5" t="s">
        <v>49</v>
      </c>
      <c r="AF1522" s="5"/>
      <c r="AG1522" s="5"/>
      <c r="AH1522" s="5" t="s">
        <v>3351</v>
      </c>
    </row>
    <row r="1523" spans="2:34" ht="21" customHeight="1" outlineLevel="5" x14ac:dyDescent="0.2">
      <c r="B1523" s="42">
        <v>1179</v>
      </c>
      <c r="C1523" s="5" t="s">
        <v>6273</v>
      </c>
      <c r="D1523" s="5" t="s">
        <v>6274</v>
      </c>
      <c r="E1523" s="6" t="s">
        <v>6275</v>
      </c>
      <c r="F1523" s="10"/>
      <c r="G1523" s="11" t="s">
        <v>6260</v>
      </c>
      <c r="H1523" s="12">
        <v>30</v>
      </c>
      <c r="I1523" s="13" t="s">
        <v>41</v>
      </c>
      <c r="J1523" s="13"/>
      <c r="K1523" s="13"/>
      <c r="L1523" s="4">
        <v>4</v>
      </c>
      <c r="M1523" s="14">
        <f>147*(1-P3/100)</f>
        <v>147</v>
      </c>
      <c r="N1523" s="15"/>
      <c r="O1523" s="13">
        <f t="shared" si="65"/>
        <v>0</v>
      </c>
      <c r="P1523" s="22">
        <f>0.048*N1523</f>
        <v>0</v>
      </c>
      <c r="Q1523" s="23">
        <f>0.00007*N1523</f>
        <v>0</v>
      </c>
      <c r="R1523" s="24"/>
      <c r="S1523" s="25" t="s">
        <v>6276</v>
      </c>
      <c r="T1523" s="25" t="s">
        <v>43</v>
      </c>
      <c r="U1523" s="5"/>
      <c r="V1523" s="5" t="s">
        <v>6277</v>
      </c>
      <c r="W1523" s="5" t="s">
        <v>46</v>
      </c>
      <c r="X1523" s="5" t="s">
        <v>6256</v>
      </c>
      <c r="Y1523" s="5"/>
      <c r="Z1523" s="5" t="str">
        <f>HYPERLINK("https://knigipp.ru/api/getInfo/image/c25085b7-0463-11ef-a25d-00155d82e908")</f>
        <v>https://knigipp.ru/api/getInfo/image/c25085b7-0463-11ef-a25d-00155d82e908</v>
      </c>
      <c r="AA1523" s="33">
        <v>8</v>
      </c>
      <c r="AB1523" s="5" t="s">
        <v>47</v>
      </c>
      <c r="AC1523" s="5" t="s">
        <v>96</v>
      </c>
      <c r="AD1523" s="5"/>
      <c r="AE1523" s="5" t="s">
        <v>49</v>
      </c>
      <c r="AF1523" s="5"/>
      <c r="AG1523" s="5"/>
      <c r="AH1523" s="5" t="s">
        <v>3351</v>
      </c>
    </row>
    <row r="1524" spans="2:34" ht="21" customHeight="1" outlineLevel="5" x14ac:dyDescent="0.2">
      <c r="B1524" s="42">
        <v>1180</v>
      </c>
      <c r="C1524" s="5" t="s">
        <v>6278</v>
      </c>
      <c r="D1524" s="5" t="s">
        <v>6279</v>
      </c>
      <c r="E1524" s="6" t="s">
        <v>6280</v>
      </c>
      <c r="F1524" s="10"/>
      <c r="G1524" s="11" t="s">
        <v>6253</v>
      </c>
      <c r="H1524" s="12">
        <v>30</v>
      </c>
      <c r="I1524" s="13" t="s">
        <v>41</v>
      </c>
      <c r="J1524" s="13"/>
      <c r="K1524" s="13"/>
      <c r="L1524" s="4">
        <v>4</v>
      </c>
      <c r="M1524" s="14">
        <f>147*(1-P3/100)</f>
        <v>147</v>
      </c>
      <c r="N1524" s="15"/>
      <c r="O1524" s="13">
        <f t="shared" si="65"/>
        <v>0</v>
      </c>
      <c r="P1524" s="22">
        <f>0.052*N1524</f>
        <v>0</v>
      </c>
      <c r="Q1524" s="23">
        <f>0.00015*N1524</f>
        <v>0</v>
      </c>
      <c r="R1524" s="24"/>
      <c r="S1524" s="25" t="s">
        <v>6281</v>
      </c>
      <c r="T1524" s="25" t="s">
        <v>43</v>
      </c>
      <c r="U1524" s="5"/>
      <c r="V1524" s="5" t="s">
        <v>6282</v>
      </c>
      <c r="W1524" s="5" t="s">
        <v>46</v>
      </c>
      <c r="X1524" s="5" t="s">
        <v>6256</v>
      </c>
      <c r="Y1524" s="5"/>
      <c r="Z1524" s="5" t="str">
        <f>HYPERLINK("https://knigipp.ru/api/getInfo/image/32061483-0465-11ef-a25d-00155d82e908")</f>
        <v>https://knigipp.ru/api/getInfo/image/32061483-0465-11ef-a25d-00155d82e908</v>
      </c>
      <c r="AA1524" s="33">
        <v>8</v>
      </c>
      <c r="AB1524" s="5" t="s">
        <v>47</v>
      </c>
      <c r="AC1524" s="5" t="s">
        <v>96</v>
      </c>
      <c r="AD1524" s="5"/>
      <c r="AE1524" s="5" t="s">
        <v>49</v>
      </c>
      <c r="AF1524" s="5"/>
      <c r="AG1524" s="5"/>
      <c r="AH1524" s="5" t="s">
        <v>3351</v>
      </c>
    </row>
    <row r="1525" spans="2:34" ht="21" customHeight="1" outlineLevel="5" x14ac:dyDescent="0.2">
      <c r="B1525" s="42">
        <v>1181</v>
      </c>
      <c r="C1525" s="5" t="s">
        <v>6283</v>
      </c>
      <c r="D1525" s="5" t="s">
        <v>6284</v>
      </c>
      <c r="E1525" s="6" t="s">
        <v>6285</v>
      </c>
      <c r="F1525" s="10"/>
      <c r="G1525" s="11" t="s">
        <v>6253</v>
      </c>
      <c r="H1525" s="12">
        <v>30</v>
      </c>
      <c r="I1525" s="13" t="s">
        <v>41</v>
      </c>
      <c r="J1525" s="13"/>
      <c r="K1525" s="13"/>
      <c r="L1525" s="4">
        <v>4</v>
      </c>
      <c r="M1525" s="14">
        <f>147*(1-P3/100)</f>
        <v>147</v>
      </c>
      <c r="N1525" s="15"/>
      <c r="O1525" s="13">
        <f t="shared" si="65"/>
        <v>0</v>
      </c>
      <c r="P1525" s="22">
        <f>0.048*N1525</f>
        <v>0</v>
      </c>
      <c r="Q1525" s="23">
        <f>0.00007*N1525</f>
        <v>0</v>
      </c>
      <c r="R1525" s="24"/>
      <c r="S1525" s="25" t="s">
        <v>6286</v>
      </c>
      <c r="T1525" s="25" t="s">
        <v>43</v>
      </c>
      <c r="U1525" s="5"/>
      <c r="V1525" s="5" t="s">
        <v>6287</v>
      </c>
      <c r="W1525" s="5" t="s">
        <v>46</v>
      </c>
      <c r="X1525" s="5" t="s">
        <v>6288</v>
      </c>
      <c r="Y1525" s="5"/>
      <c r="Z1525" s="5" t="str">
        <f>HYPERLINK("https://knigipp.ru/api/getInfo/image/1182d9e6-0465-11ef-a25d-00155d82e908")</f>
        <v>https://knigipp.ru/api/getInfo/image/1182d9e6-0465-11ef-a25d-00155d82e908</v>
      </c>
      <c r="AA1525" s="33">
        <v>8</v>
      </c>
      <c r="AB1525" s="5" t="s">
        <v>47</v>
      </c>
      <c r="AC1525" s="5" t="s">
        <v>96</v>
      </c>
      <c r="AD1525" s="5"/>
      <c r="AE1525" s="5" t="s">
        <v>49</v>
      </c>
      <c r="AF1525" s="5"/>
      <c r="AG1525" s="5"/>
      <c r="AH1525" s="5" t="s">
        <v>3351</v>
      </c>
    </row>
    <row r="1526" spans="2:34" ht="21" customHeight="1" outlineLevel="5" x14ac:dyDescent="0.2">
      <c r="B1526" s="42">
        <v>1182</v>
      </c>
      <c r="C1526" s="5" t="s">
        <v>6289</v>
      </c>
      <c r="D1526" s="5" t="s">
        <v>6290</v>
      </c>
      <c r="E1526" s="6" t="s">
        <v>6291</v>
      </c>
      <c r="F1526" s="10"/>
      <c r="G1526" s="11" t="s">
        <v>6292</v>
      </c>
      <c r="H1526" s="12">
        <v>30</v>
      </c>
      <c r="I1526" s="13" t="s">
        <v>41</v>
      </c>
      <c r="J1526" s="13"/>
      <c r="K1526" s="13"/>
      <c r="L1526" s="4">
        <v>4</v>
      </c>
      <c r="M1526" s="14">
        <f>147*(1-P3/100)</f>
        <v>147</v>
      </c>
      <c r="N1526" s="15"/>
      <c r="O1526" s="13">
        <f t="shared" si="65"/>
        <v>0</v>
      </c>
      <c r="P1526" s="22">
        <f>0.048*N1526</f>
        <v>0</v>
      </c>
      <c r="Q1526" s="23">
        <f>0.00011*N1526</f>
        <v>0</v>
      </c>
      <c r="R1526" s="24"/>
      <c r="S1526" s="25" t="s">
        <v>6293</v>
      </c>
      <c r="T1526" s="25" t="s">
        <v>43</v>
      </c>
      <c r="U1526" s="5"/>
      <c r="V1526" s="5" t="s">
        <v>6294</v>
      </c>
      <c r="W1526" s="5" t="s">
        <v>46</v>
      </c>
      <c r="X1526" s="5"/>
      <c r="Y1526" s="5"/>
      <c r="Z1526" s="5" t="str">
        <f>HYPERLINK("https://knigipp.ru/api/getInfo/image/1d49621b-c4f1-11ef-a268-00155d82e908")</f>
        <v>https://knigipp.ru/api/getInfo/image/1d49621b-c4f1-11ef-a268-00155d82e908</v>
      </c>
      <c r="AA1526" s="33">
        <v>8</v>
      </c>
      <c r="AB1526" s="5" t="s">
        <v>47</v>
      </c>
      <c r="AC1526" s="5" t="s">
        <v>96</v>
      </c>
      <c r="AD1526" s="5"/>
      <c r="AE1526" s="5" t="s">
        <v>49</v>
      </c>
      <c r="AF1526" s="5"/>
      <c r="AG1526" s="5"/>
      <c r="AH1526" s="5" t="s">
        <v>3351</v>
      </c>
    </row>
    <row r="1527" spans="2:34" ht="21" customHeight="1" outlineLevel="5" x14ac:dyDescent="0.2">
      <c r="B1527" s="42">
        <v>1183</v>
      </c>
      <c r="C1527" s="5" t="s">
        <v>6295</v>
      </c>
      <c r="D1527" s="5" t="s">
        <v>6296</v>
      </c>
      <c r="E1527" s="6" t="s">
        <v>6297</v>
      </c>
      <c r="F1527" s="10"/>
      <c r="G1527" s="11" t="s">
        <v>6253</v>
      </c>
      <c r="H1527" s="12">
        <v>30</v>
      </c>
      <c r="I1527" s="13" t="s">
        <v>41</v>
      </c>
      <c r="J1527" s="13"/>
      <c r="K1527" s="13"/>
      <c r="L1527" s="4">
        <v>4</v>
      </c>
      <c r="M1527" s="14">
        <f>147*(1-P3/100)</f>
        <v>147</v>
      </c>
      <c r="N1527" s="15"/>
      <c r="O1527" s="13">
        <f t="shared" si="65"/>
        <v>0</v>
      </c>
      <c r="P1527" s="32">
        <f>0.05*N1527</f>
        <v>0</v>
      </c>
      <c r="Q1527" s="23">
        <f>0.00012*N1527</f>
        <v>0</v>
      </c>
      <c r="R1527" s="24"/>
      <c r="S1527" s="25" t="s">
        <v>6298</v>
      </c>
      <c r="T1527" s="25" t="s">
        <v>43</v>
      </c>
      <c r="U1527" s="5"/>
      <c r="V1527" s="5" t="s">
        <v>6299</v>
      </c>
      <c r="W1527" s="5" t="s">
        <v>46</v>
      </c>
      <c r="X1527" s="5" t="s">
        <v>6256</v>
      </c>
      <c r="Y1527" s="5"/>
      <c r="Z1527" s="5" t="str">
        <f>HYPERLINK("https://knigipp.ru/api/getInfo/image/5493406f-0465-11ef-a25d-00155d82e908")</f>
        <v>https://knigipp.ru/api/getInfo/image/5493406f-0465-11ef-a25d-00155d82e908</v>
      </c>
      <c r="AA1527" s="33">
        <v>8</v>
      </c>
      <c r="AB1527" s="5" t="s">
        <v>47</v>
      </c>
      <c r="AC1527" s="5" t="s">
        <v>96</v>
      </c>
      <c r="AD1527" s="5"/>
      <c r="AE1527" s="5" t="s">
        <v>49</v>
      </c>
      <c r="AF1527" s="5"/>
      <c r="AG1527" s="5"/>
      <c r="AH1527" s="5" t="s">
        <v>3351</v>
      </c>
    </row>
    <row r="1528" spans="2:34" ht="21" customHeight="1" outlineLevel="5" x14ac:dyDescent="0.2">
      <c r="B1528" s="42">
        <v>1184</v>
      </c>
      <c r="C1528" s="5" t="s">
        <v>6300</v>
      </c>
      <c r="D1528" s="5" t="s">
        <v>6301</v>
      </c>
      <c r="E1528" s="6" t="s">
        <v>6302</v>
      </c>
      <c r="F1528" s="10"/>
      <c r="G1528" s="11" t="s">
        <v>6303</v>
      </c>
      <c r="H1528" s="12">
        <v>30</v>
      </c>
      <c r="I1528" s="13" t="s">
        <v>41</v>
      </c>
      <c r="J1528" s="13"/>
      <c r="K1528" s="13"/>
      <c r="L1528" s="4">
        <v>4</v>
      </c>
      <c r="M1528" s="14">
        <f>147*(1-P3/100)</f>
        <v>147</v>
      </c>
      <c r="N1528" s="15"/>
      <c r="O1528" s="13">
        <f t="shared" si="65"/>
        <v>0</v>
      </c>
      <c r="P1528" s="22">
        <f>0.045*N1528</f>
        <v>0</v>
      </c>
      <c r="Q1528" s="23">
        <f>0.00015*N1528</f>
        <v>0</v>
      </c>
      <c r="R1528" s="24"/>
      <c r="S1528" s="25" t="s">
        <v>6304</v>
      </c>
      <c r="T1528" s="25" t="s">
        <v>43</v>
      </c>
      <c r="U1528" s="5"/>
      <c r="V1528" s="5" t="s">
        <v>6305</v>
      </c>
      <c r="W1528" s="5" t="s">
        <v>46</v>
      </c>
      <c r="X1528" s="5"/>
      <c r="Y1528" s="5"/>
      <c r="Z1528" s="5" t="str">
        <f>HYPERLINK("https://knigipp.ru/api/getInfo/image/be7c459d-1a70-11ee-a23b-00155d82e902")</f>
        <v>https://knigipp.ru/api/getInfo/image/be7c459d-1a70-11ee-a23b-00155d82e902</v>
      </c>
      <c r="AA1528" s="33">
        <v>8</v>
      </c>
      <c r="AB1528" s="5" t="s">
        <v>47</v>
      </c>
      <c r="AC1528" s="5" t="s">
        <v>96</v>
      </c>
      <c r="AD1528" s="5"/>
      <c r="AE1528" s="5" t="s">
        <v>49</v>
      </c>
      <c r="AF1528" s="5"/>
      <c r="AG1528" s="5"/>
      <c r="AH1528" s="5" t="s">
        <v>3351</v>
      </c>
    </row>
    <row r="1529" spans="2:34" ht="22.95" customHeight="1" outlineLevel="4" x14ac:dyDescent="0.2">
      <c r="B1529" s="75" t="s">
        <v>6306</v>
      </c>
      <c r="C1529" s="75"/>
      <c r="D1529" s="75"/>
    </row>
    <row r="1530" spans="2:34" ht="21" customHeight="1" outlineLevel="5" x14ac:dyDescent="0.2">
      <c r="B1530" s="42">
        <v>1185</v>
      </c>
      <c r="C1530" s="5" t="s">
        <v>6307</v>
      </c>
      <c r="D1530" s="5" t="s">
        <v>6308</v>
      </c>
      <c r="E1530" s="6" t="s">
        <v>6309</v>
      </c>
      <c r="F1530" s="10"/>
      <c r="G1530" s="11" t="s">
        <v>6292</v>
      </c>
      <c r="H1530" s="12">
        <v>30</v>
      </c>
      <c r="I1530" s="13" t="s">
        <v>41</v>
      </c>
      <c r="J1530" s="13"/>
      <c r="K1530" s="13"/>
      <c r="L1530" s="4">
        <v>3</v>
      </c>
      <c r="M1530" s="14">
        <f>249*(1-P3/100)</f>
        <v>249</v>
      </c>
      <c r="N1530" s="15"/>
      <c r="O1530" s="13">
        <f>M1530*N1530</f>
        <v>0</v>
      </c>
      <c r="P1530" s="32">
        <f>0.07*N1530</f>
        <v>0</v>
      </c>
      <c r="Q1530" s="23">
        <f>0.00031*N1530</f>
        <v>0</v>
      </c>
      <c r="R1530" s="24"/>
      <c r="S1530" s="25" t="s">
        <v>6310</v>
      </c>
      <c r="T1530" s="25" t="s">
        <v>43</v>
      </c>
      <c r="U1530" s="5"/>
      <c r="V1530" s="5" t="s">
        <v>6311</v>
      </c>
      <c r="W1530" s="5" t="s">
        <v>46</v>
      </c>
      <c r="X1530" s="5" t="s">
        <v>2454</v>
      </c>
      <c r="Y1530" s="5"/>
      <c r="Z1530" s="5" t="str">
        <f>HYPERLINK("https://knigipp.ru/api/getInfo/image/3657eb0d-48ed-11ef-a262-00155d82e908")</f>
        <v>https://knigipp.ru/api/getInfo/image/3657eb0d-48ed-11ef-a262-00155d82e908</v>
      </c>
      <c r="AA1530" s="33">
        <v>8</v>
      </c>
      <c r="AB1530" s="5" t="s">
        <v>47</v>
      </c>
      <c r="AC1530" s="5" t="s">
        <v>96</v>
      </c>
      <c r="AD1530" s="5"/>
      <c r="AE1530" s="5" t="s">
        <v>49</v>
      </c>
      <c r="AF1530" s="5"/>
      <c r="AG1530" s="5"/>
      <c r="AH1530" s="5" t="s">
        <v>6312</v>
      </c>
    </row>
    <row r="1531" spans="2:34" ht="21" customHeight="1" outlineLevel="5" x14ac:dyDescent="0.2">
      <c r="B1531" s="42">
        <v>1186</v>
      </c>
      <c r="C1531" s="5" t="s">
        <v>6313</v>
      </c>
      <c r="D1531" s="5" t="s">
        <v>6314</v>
      </c>
      <c r="E1531" s="6" t="s">
        <v>6315</v>
      </c>
      <c r="F1531" s="10"/>
      <c r="G1531" s="11" t="s">
        <v>6292</v>
      </c>
      <c r="H1531" s="12">
        <v>30</v>
      </c>
      <c r="I1531" s="13" t="s">
        <v>41</v>
      </c>
      <c r="J1531" s="13"/>
      <c r="K1531" s="13"/>
      <c r="L1531" s="4">
        <v>3</v>
      </c>
      <c r="M1531" s="14">
        <f>249*(1-P3/100)</f>
        <v>249</v>
      </c>
      <c r="N1531" s="15"/>
      <c r="O1531" s="13">
        <f>M1531*N1531</f>
        <v>0</v>
      </c>
      <c r="P1531" s="22">
        <f>0.061*N1531</f>
        <v>0</v>
      </c>
      <c r="Q1531" s="23">
        <f>0.00033*N1531</f>
        <v>0</v>
      </c>
      <c r="R1531" s="24"/>
      <c r="S1531" s="25" t="s">
        <v>6316</v>
      </c>
      <c r="T1531" s="25" t="s">
        <v>43</v>
      </c>
      <c r="U1531" s="5"/>
      <c r="V1531" s="5" t="s">
        <v>6317</v>
      </c>
      <c r="W1531" s="5" t="s">
        <v>46</v>
      </c>
      <c r="X1531" s="5" t="s">
        <v>2454</v>
      </c>
      <c r="Y1531" s="5"/>
      <c r="Z1531" s="5" t="str">
        <f>HYPERLINK("https://knigipp.ru/api/getInfo/image/653ed0b9-48ed-11ef-a262-00155d82e908")</f>
        <v>https://knigipp.ru/api/getInfo/image/653ed0b9-48ed-11ef-a262-00155d82e908</v>
      </c>
      <c r="AA1531" s="33">
        <v>8</v>
      </c>
      <c r="AB1531" s="5" t="s">
        <v>47</v>
      </c>
      <c r="AC1531" s="5" t="s">
        <v>96</v>
      </c>
      <c r="AD1531" s="5"/>
      <c r="AE1531" s="5" t="s">
        <v>49</v>
      </c>
      <c r="AF1531" s="5"/>
      <c r="AG1531" s="5"/>
      <c r="AH1531" s="5" t="s">
        <v>6312</v>
      </c>
    </row>
    <row r="1532" spans="2:34" ht="21" customHeight="1" outlineLevel="5" x14ac:dyDescent="0.2">
      <c r="B1532" s="42">
        <v>1187</v>
      </c>
      <c r="C1532" s="5" t="s">
        <v>6318</v>
      </c>
      <c r="D1532" s="5" t="s">
        <v>6319</v>
      </c>
      <c r="E1532" s="6" t="s">
        <v>6320</v>
      </c>
      <c r="F1532" s="10"/>
      <c r="G1532" s="11" t="s">
        <v>6292</v>
      </c>
      <c r="H1532" s="12">
        <v>30</v>
      </c>
      <c r="I1532" s="13" t="s">
        <v>371</v>
      </c>
      <c r="J1532" s="13"/>
      <c r="K1532" s="13"/>
      <c r="L1532" s="4">
        <v>3</v>
      </c>
      <c r="M1532" s="14">
        <f>249*(1-P3/100)</f>
        <v>249</v>
      </c>
      <c r="N1532" s="15"/>
      <c r="O1532" s="13">
        <f>M1532*N1532</f>
        <v>0</v>
      </c>
      <c r="P1532" s="32">
        <f>0.07*N1532</f>
        <v>0</v>
      </c>
      <c r="Q1532" s="23">
        <f>0.00026*N1532</f>
        <v>0</v>
      </c>
      <c r="R1532" s="24"/>
      <c r="S1532" s="25" t="s">
        <v>6321</v>
      </c>
      <c r="T1532" s="25" t="s">
        <v>43</v>
      </c>
      <c r="U1532" s="5"/>
      <c r="V1532" s="5" t="s">
        <v>6322</v>
      </c>
      <c r="W1532" s="5" t="s">
        <v>46</v>
      </c>
      <c r="X1532" s="5" t="s">
        <v>2454</v>
      </c>
      <c r="Y1532" s="5"/>
      <c r="Z1532" s="5" t="str">
        <f>HYPERLINK("https://knigipp.ru/api/getInfo/image/ac708338-bea6-11ee-a25a-00155d82e908")</f>
        <v>https://knigipp.ru/api/getInfo/image/ac708338-bea6-11ee-a25a-00155d82e908</v>
      </c>
      <c r="AA1532" s="33">
        <v>8</v>
      </c>
      <c r="AB1532" s="5" t="s">
        <v>47</v>
      </c>
      <c r="AC1532" s="5" t="s">
        <v>96</v>
      </c>
      <c r="AD1532" s="5"/>
      <c r="AE1532" s="5" t="s">
        <v>49</v>
      </c>
      <c r="AF1532" s="5"/>
      <c r="AG1532" s="5"/>
      <c r="AH1532" s="5" t="s">
        <v>4133</v>
      </c>
    </row>
    <row r="1533" spans="2:34" ht="21" customHeight="1" outlineLevel="5" x14ac:dyDescent="0.2">
      <c r="B1533" s="42">
        <v>1188</v>
      </c>
      <c r="C1533" s="5" t="s">
        <v>6323</v>
      </c>
      <c r="D1533" s="5" t="s">
        <v>6324</v>
      </c>
      <c r="E1533" s="6" t="s">
        <v>6325</v>
      </c>
      <c r="F1533" s="10"/>
      <c r="G1533" s="11" t="s">
        <v>6292</v>
      </c>
      <c r="H1533" s="12">
        <v>30</v>
      </c>
      <c r="I1533" s="13" t="s">
        <v>41</v>
      </c>
      <c r="J1533" s="13"/>
      <c r="K1533" s="13"/>
      <c r="L1533" s="4">
        <v>3</v>
      </c>
      <c r="M1533" s="14">
        <f>249*(1-P3/100)</f>
        <v>249</v>
      </c>
      <c r="N1533" s="15"/>
      <c r="O1533" s="13">
        <f>M1533*N1533</f>
        <v>0</v>
      </c>
      <c r="P1533" s="22">
        <f>1.341*N1533</f>
        <v>0</v>
      </c>
      <c r="Q1533" s="23">
        <f>0.00185*N1533</f>
        <v>0</v>
      </c>
      <c r="R1533" s="24"/>
      <c r="S1533" s="25" t="s">
        <v>6326</v>
      </c>
      <c r="T1533" s="25" t="s">
        <v>43</v>
      </c>
      <c r="U1533" s="5"/>
      <c r="V1533" s="5" t="s">
        <v>6327</v>
      </c>
      <c r="W1533" s="5" t="s">
        <v>46</v>
      </c>
      <c r="X1533" s="5" t="s">
        <v>2454</v>
      </c>
      <c r="Y1533" s="5"/>
      <c r="Z1533" s="5" t="str">
        <f>HYPERLINK("https://knigipp.ru/api/getInfo/image/108b7d0a-bea8-11ee-a25a-00155d82e908")</f>
        <v>https://knigipp.ru/api/getInfo/image/108b7d0a-bea8-11ee-a25a-00155d82e908</v>
      </c>
      <c r="AA1533" s="33">
        <v>8</v>
      </c>
      <c r="AB1533" s="5" t="s">
        <v>47</v>
      </c>
      <c r="AC1533" s="5" t="s">
        <v>96</v>
      </c>
      <c r="AD1533" s="5"/>
      <c r="AE1533" s="5" t="s">
        <v>49</v>
      </c>
      <c r="AF1533" s="5"/>
      <c r="AG1533" s="5"/>
      <c r="AH1533" s="5" t="s">
        <v>4133</v>
      </c>
    </row>
    <row r="1534" spans="2:34" ht="21" customHeight="1" outlineLevel="5" x14ac:dyDescent="0.2">
      <c r="B1534" s="42">
        <v>1189</v>
      </c>
      <c r="C1534" s="5" t="s">
        <v>6328</v>
      </c>
      <c r="D1534" s="5" t="s">
        <v>6329</v>
      </c>
      <c r="E1534" s="6" t="s">
        <v>6330</v>
      </c>
      <c r="F1534" s="10"/>
      <c r="G1534" s="11" t="s">
        <v>6292</v>
      </c>
      <c r="H1534" s="12">
        <v>30</v>
      </c>
      <c r="I1534" s="13" t="s">
        <v>41</v>
      </c>
      <c r="J1534" s="13"/>
      <c r="K1534" s="13"/>
      <c r="L1534" s="4">
        <v>3</v>
      </c>
      <c r="M1534" s="14">
        <f>249*(1-P3/100)</f>
        <v>249</v>
      </c>
      <c r="N1534" s="15"/>
      <c r="O1534" s="13">
        <f>M1534*N1534</f>
        <v>0</v>
      </c>
      <c r="P1534" s="32">
        <f>0.07*N1534</f>
        <v>0</v>
      </c>
      <c r="Q1534" s="23">
        <f>0.00026*N1534</f>
        <v>0</v>
      </c>
      <c r="R1534" s="24"/>
      <c r="S1534" s="25" t="s">
        <v>6331</v>
      </c>
      <c r="T1534" s="25" t="s">
        <v>43</v>
      </c>
      <c r="U1534" s="5"/>
      <c r="V1534" s="5" t="s">
        <v>6332</v>
      </c>
      <c r="W1534" s="5" t="s">
        <v>46</v>
      </c>
      <c r="X1534" s="5" t="s">
        <v>2454</v>
      </c>
      <c r="Y1534" s="5"/>
      <c r="Z1534" s="5" t="str">
        <f>HYPERLINK("https://knigipp.ru/api/getInfo/image/34f3639e-bea8-11ee-a25a-00155d82e908")</f>
        <v>https://knigipp.ru/api/getInfo/image/34f3639e-bea8-11ee-a25a-00155d82e908</v>
      </c>
      <c r="AA1534" s="33">
        <v>8</v>
      </c>
      <c r="AB1534" s="5" t="s">
        <v>47</v>
      </c>
      <c r="AC1534" s="5" t="s">
        <v>96</v>
      </c>
      <c r="AD1534" s="5"/>
      <c r="AE1534" s="5" t="s">
        <v>49</v>
      </c>
      <c r="AF1534" s="5"/>
      <c r="AG1534" s="5"/>
      <c r="AH1534" s="5" t="s">
        <v>4133</v>
      </c>
    </row>
    <row r="1535" spans="2:34" ht="22.95" customHeight="1" outlineLevel="4" x14ac:dyDescent="0.2">
      <c r="B1535" s="75" t="s">
        <v>6333</v>
      </c>
      <c r="C1535" s="75"/>
      <c r="D1535" s="75"/>
    </row>
    <row r="1536" spans="2:34" ht="21" customHeight="1" outlineLevel="5" x14ac:dyDescent="0.2">
      <c r="B1536" s="42">
        <v>1190</v>
      </c>
      <c r="C1536" s="5" t="s">
        <v>6334</v>
      </c>
      <c r="D1536" s="5" t="s">
        <v>6335</v>
      </c>
      <c r="E1536" s="6" t="s">
        <v>6336</v>
      </c>
      <c r="F1536" s="10"/>
      <c r="G1536" s="11" t="s">
        <v>6337</v>
      </c>
      <c r="H1536" s="12">
        <v>30</v>
      </c>
      <c r="I1536" s="13" t="s">
        <v>41</v>
      </c>
      <c r="J1536" s="13"/>
      <c r="K1536" s="13"/>
      <c r="L1536" s="4">
        <v>3</v>
      </c>
      <c r="M1536" s="14">
        <f>247*(1-P3/100)</f>
        <v>247</v>
      </c>
      <c r="N1536" s="15"/>
      <c r="O1536" s="13">
        <f>M1536*N1536</f>
        <v>0</v>
      </c>
      <c r="P1536" s="22">
        <f>0.048*N1536</f>
        <v>0</v>
      </c>
      <c r="Q1536" s="23">
        <f>0.00016*N1536</f>
        <v>0</v>
      </c>
      <c r="R1536" s="24"/>
      <c r="S1536" s="25" t="s">
        <v>6338</v>
      </c>
      <c r="T1536" s="25" t="s">
        <v>43</v>
      </c>
      <c r="U1536" s="5"/>
      <c r="V1536" s="5" t="s">
        <v>6339</v>
      </c>
      <c r="W1536" s="5" t="s">
        <v>4985</v>
      </c>
      <c r="X1536" s="5"/>
      <c r="Y1536" s="5"/>
      <c r="Z1536" s="5" t="str">
        <f>HYPERLINK("https://knigipp.ru/api/getInfo/image/ecd50945-25c2-11f0-a279-00155d82e908")</f>
        <v>https://knigipp.ru/api/getInfo/image/ecd50945-25c2-11f0-a279-00155d82e908</v>
      </c>
      <c r="AA1536" s="33">
        <v>8</v>
      </c>
      <c r="AB1536" s="5"/>
      <c r="AC1536" s="5" t="s">
        <v>96</v>
      </c>
      <c r="AD1536" s="5"/>
      <c r="AE1536" s="5" t="s">
        <v>49</v>
      </c>
      <c r="AF1536" s="5"/>
      <c r="AG1536" s="5"/>
      <c r="AH1536" s="5" t="s">
        <v>3351</v>
      </c>
    </row>
    <row r="1537" spans="2:35" ht="21" customHeight="1" outlineLevel="5" x14ac:dyDescent="0.2">
      <c r="B1537" s="42">
        <v>1191</v>
      </c>
      <c r="C1537" s="5" t="s">
        <v>6340</v>
      </c>
      <c r="D1537" s="5" t="s">
        <v>6341</v>
      </c>
      <c r="E1537" s="6" t="s">
        <v>6342</v>
      </c>
      <c r="F1537" s="10"/>
      <c r="G1537" s="11" t="s">
        <v>6337</v>
      </c>
      <c r="H1537" s="12">
        <v>30</v>
      </c>
      <c r="I1537" s="13" t="s">
        <v>41</v>
      </c>
      <c r="J1537" s="13"/>
      <c r="K1537" s="13"/>
      <c r="L1537" s="4">
        <v>3</v>
      </c>
      <c r="M1537" s="14">
        <f>247*(1-P3/100)</f>
        <v>247</v>
      </c>
      <c r="N1537" s="15"/>
      <c r="O1537" s="13">
        <f>M1537*N1537</f>
        <v>0</v>
      </c>
      <c r="P1537" s="22">
        <f>0.048*N1537</f>
        <v>0</v>
      </c>
      <c r="Q1537" s="23">
        <f>0.00016*N1537</f>
        <v>0</v>
      </c>
      <c r="R1537" s="24"/>
      <c r="S1537" s="25" t="s">
        <v>6343</v>
      </c>
      <c r="T1537" s="25" t="s">
        <v>43</v>
      </c>
      <c r="U1537" s="5"/>
      <c r="V1537" s="5" t="s">
        <v>6344</v>
      </c>
      <c r="W1537" s="5" t="s">
        <v>4985</v>
      </c>
      <c r="X1537" s="5"/>
      <c r="Y1537" s="5"/>
      <c r="Z1537" s="5" t="str">
        <f>HYPERLINK("https://knigipp.ru/api/getInfo/image/5df5d92a-25c3-11f0-a279-00155d82e908")</f>
        <v>https://knigipp.ru/api/getInfo/image/5df5d92a-25c3-11f0-a279-00155d82e908</v>
      </c>
      <c r="AA1537" s="33">
        <v>8</v>
      </c>
      <c r="AB1537" s="5"/>
      <c r="AC1537" s="5" t="s">
        <v>96</v>
      </c>
      <c r="AD1537" s="5"/>
      <c r="AE1537" s="5" t="s">
        <v>49</v>
      </c>
      <c r="AF1537" s="5"/>
      <c r="AG1537" s="5"/>
      <c r="AH1537" s="5" t="s">
        <v>3351</v>
      </c>
    </row>
    <row r="1538" spans="2:35" ht="21" customHeight="1" outlineLevel="5" x14ac:dyDescent="0.2">
      <c r="B1538" s="42">
        <v>1192</v>
      </c>
      <c r="C1538" s="5" t="s">
        <v>6345</v>
      </c>
      <c r="D1538" s="5" t="s">
        <v>6346</v>
      </c>
      <c r="E1538" s="6" t="s">
        <v>6347</v>
      </c>
      <c r="F1538" s="10"/>
      <c r="G1538" s="11" t="s">
        <v>6337</v>
      </c>
      <c r="H1538" s="12">
        <v>30</v>
      </c>
      <c r="I1538" s="13" t="s">
        <v>41</v>
      </c>
      <c r="J1538" s="13"/>
      <c r="K1538" s="13"/>
      <c r="L1538" s="4">
        <v>3</v>
      </c>
      <c r="M1538" s="14">
        <f>247*(1-P3/100)</f>
        <v>247</v>
      </c>
      <c r="N1538" s="15"/>
      <c r="O1538" s="13">
        <f>M1538*N1538</f>
        <v>0</v>
      </c>
      <c r="P1538" s="22">
        <f>0.048*N1538</f>
        <v>0</v>
      </c>
      <c r="Q1538" s="23">
        <f>0.00016*N1538</f>
        <v>0</v>
      </c>
      <c r="R1538" s="24"/>
      <c r="S1538" s="25" t="s">
        <v>6348</v>
      </c>
      <c r="T1538" s="25" t="s">
        <v>43</v>
      </c>
      <c r="U1538" s="5"/>
      <c r="V1538" s="5" t="s">
        <v>6349</v>
      </c>
      <c r="W1538" s="5" t="s">
        <v>4985</v>
      </c>
      <c r="X1538" s="5"/>
      <c r="Y1538" s="5"/>
      <c r="Z1538" s="5" t="str">
        <f>HYPERLINK("https://knigipp.ru/api/getInfo/image/b56ea3cd-25c2-11f0-a279-00155d82e908")</f>
        <v>https://knigipp.ru/api/getInfo/image/b56ea3cd-25c2-11f0-a279-00155d82e908</v>
      </c>
      <c r="AA1538" s="33">
        <v>8</v>
      </c>
      <c r="AB1538" s="5"/>
      <c r="AC1538" s="5" t="s">
        <v>96</v>
      </c>
      <c r="AD1538" s="5"/>
      <c r="AE1538" s="5" t="s">
        <v>49</v>
      </c>
      <c r="AF1538" s="5"/>
      <c r="AG1538" s="5"/>
      <c r="AH1538" s="5" t="s">
        <v>3351</v>
      </c>
    </row>
    <row r="1539" spans="2:35" ht="21" customHeight="1" outlineLevel="5" x14ac:dyDescent="0.2">
      <c r="B1539" s="42">
        <v>1193</v>
      </c>
      <c r="C1539" s="5" t="s">
        <v>6350</v>
      </c>
      <c r="D1539" s="5" t="s">
        <v>6351</v>
      </c>
      <c r="E1539" s="6" t="s">
        <v>6352</v>
      </c>
      <c r="F1539" s="10"/>
      <c r="G1539" s="11" t="s">
        <v>6337</v>
      </c>
      <c r="H1539" s="12">
        <v>30</v>
      </c>
      <c r="I1539" s="13" t="s">
        <v>41</v>
      </c>
      <c r="J1539" s="13"/>
      <c r="K1539" s="13"/>
      <c r="L1539" s="4">
        <v>3</v>
      </c>
      <c r="M1539" s="14">
        <f>247*(1-P3/100)</f>
        <v>247</v>
      </c>
      <c r="N1539" s="15"/>
      <c r="O1539" s="13">
        <f>M1539*N1539</f>
        <v>0</v>
      </c>
      <c r="P1539" s="22">
        <f>0.048*N1539</f>
        <v>0</v>
      </c>
      <c r="Q1539" s="23">
        <f>0.00016*N1539</f>
        <v>0</v>
      </c>
      <c r="R1539" s="24"/>
      <c r="S1539" s="25" t="s">
        <v>6353</v>
      </c>
      <c r="T1539" s="25" t="s">
        <v>43</v>
      </c>
      <c r="U1539" s="5"/>
      <c r="V1539" s="5" t="s">
        <v>6354</v>
      </c>
      <c r="W1539" s="5" t="s">
        <v>4985</v>
      </c>
      <c r="X1539" s="5"/>
      <c r="Y1539" s="5"/>
      <c r="Z1539" s="5" t="str">
        <f>HYPERLINK("https://knigipp.ru/api/getInfo/image/3533a8d4-25c3-11f0-a279-00155d82e908")</f>
        <v>https://knigipp.ru/api/getInfo/image/3533a8d4-25c3-11f0-a279-00155d82e908</v>
      </c>
      <c r="AA1539" s="33">
        <v>8</v>
      </c>
      <c r="AB1539" s="5"/>
      <c r="AC1539" s="5" t="s">
        <v>96</v>
      </c>
      <c r="AD1539" s="5"/>
      <c r="AE1539" s="5" t="s">
        <v>49</v>
      </c>
      <c r="AF1539" s="5"/>
      <c r="AG1539" s="5"/>
      <c r="AH1539" s="5" t="s">
        <v>3351</v>
      </c>
    </row>
    <row r="1540" spans="2:35" ht="22.95" customHeight="1" outlineLevel="4" x14ac:dyDescent="0.2">
      <c r="B1540" s="75" t="s">
        <v>6355</v>
      </c>
      <c r="C1540" s="75"/>
      <c r="D1540" s="75"/>
    </row>
    <row r="1541" spans="2:35" ht="21" customHeight="1" outlineLevel="5" x14ac:dyDescent="0.2">
      <c r="B1541" s="42">
        <v>1194</v>
      </c>
      <c r="C1541" s="5" t="s">
        <v>6356</v>
      </c>
      <c r="D1541" s="5" t="s">
        <v>6357</v>
      </c>
      <c r="E1541" s="6" t="s">
        <v>6358</v>
      </c>
      <c r="F1541" s="10"/>
      <c r="G1541" s="11" t="s">
        <v>6359</v>
      </c>
      <c r="H1541" s="12">
        <v>30</v>
      </c>
      <c r="I1541" s="13" t="s">
        <v>371</v>
      </c>
      <c r="J1541" s="13"/>
      <c r="K1541" s="13"/>
      <c r="L1541" s="4">
        <v>3</v>
      </c>
      <c r="M1541" s="14">
        <f>107*(1-P3/100)</f>
        <v>107</v>
      </c>
      <c r="N1541" s="15"/>
      <c r="O1541" s="13">
        <f t="shared" ref="O1541:O1548" si="66">M1541*N1541</f>
        <v>0</v>
      </c>
      <c r="P1541" s="22">
        <f>0.054*N1541</f>
        <v>0</v>
      </c>
      <c r="Q1541" s="23">
        <f>0.01008*N1541</f>
        <v>0</v>
      </c>
      <c r="R1541" s="24"/>
      <c r="S1541" s="25" t="s">
        <v>6360</v>
      </c>
      <c r="T1541" s="25" t="s">
        <v>43</v>
      </c>
      <c r="U1541" s="5"/>
      <c r="V1541" s="5"/>
      <c r="W1541" s="5" t="s">
        <v>4985</v>
      </c>
      <c r="X1541" s="5"/>
      <c r="Y1541" s="5"/>
      <c r="Z1541" s="5" t="str">
        <f>HYPERLINK("https://knigipp.ru/api/getInfo/image/a717ee22-9c8c-11ed-a22e-00155d82e902")</f>
        <v>https://knigipp.ru/api/getInfo/image/a717ee22-9c8c-11ed-a22e-00155d82e902</v>
      </c>
      <c r="AA1541" s="33">
        <v>12</v>
      </c>
      <c r="AB1541" s="5"/>
      <c r="AC1541" s="5" t="s">
        <v>96</v>
      </c>
      <c r="AD1541" s="5"/>
      <c r="AE1541" s="5" t="s">
        <v>49</v>
      </c>
      <c r="AF1541" s="5"/>
      <c r="AG1541" s="5"/>
      <c r="AH1541" s="5" t="s">
        <v>6361</v>
      </c>
    </row>
    <row r="1542" spans="2:35" ht="21" customHeight="1" outlineLevel="5" x14ac:dyDescent="0.2">
      <c r="B1542" s="42">
        <v>1195</v>
      </c>
      <c r="C1542" s="5" t="s">
        <v>6362</v>
      </c>
      <c r="D1542" s="5" t="s">
        <v>6363</v>
      </c>
      <c r="E1542" s="6" t="s">
        <v>6364</v>
      </c>
      <c r="F1542" s="10"/>
      <c r="G1542" s="11" t="s">
        <v>6359</v>
      </c>
      <c r="H1542" s="12">
        <v>30</v>
      </c>
      <c r="I1542" s="13" t="s">
        <v>371</v>
      </c>
      <c r="J1542" s="13"/>
      <c r="K1542" s="13"/>
      <c r="L1542" s="4">
        <v>3</v>
      </c>
      <c r="M1542" s="14">
        <f>107*(1-P3/100)</f>
        <v>107</v>
      </c>
      <c r="N1542" s="15"/>
      <c r="O1542" s="13">
        <f t="shared" si="66"/>
        <v>0</v>
      </c>
      <c r="P1542" s="22">
        <f>0.054*N1542</f>
        <v>0</v>
      </c>
      <c r="Q1542" s="23">
        <f>0.00024*N1542</f>
        <v>0</v>
      </c>
      <c r="R1542" s="24"/>
      <c r="S1542" s="25" t="s">
        <v>6365</v>
      </c>
      <c r="T1542" s="25" t="s">
        <v>43</v>
      </c>
      <c r="U1542" s="5"/>
      <c r="V1542" s="5"/>
      <c r="W1542" s="5" t="s">
        <v>4985</v>
      </c>
      <c r="X1542" s="5"/>
      <c r="Y1542" s="5"/>
      <c r="Z1542" s="5" t="str">
        <f>HYPERLINK("https://knigipp.ru/api/getInfo/image/e91ffb71-9c8c-11ed-a22e-00155d82e902")</f>
        <v>https://knigipp.ru/api/getInfo/image/e91ffb71-9c8c-11ed-a22e-00155d82e902</v>
      </c>
      <c r="AA1542" s="33">
        <v>12</v>
      </c>
      <c r="AB1542" s="5"/>
      <c r="AC1542" s="5" t="s">
        <v>96</v>
      </c>
      <c r="AD1542" s="5"/>
      <c r="AE1542" s="5" t="s">
        <v>49</v>
      </c>
      <c r="AF1542" s="5"/>
      <c r="AG1542" s="5"/>
      <c r="AH1542" s="5" t="s">
        <v>6361</v>
      </c>
    </row>
    <row r="1543" spans="2:35" ht="21" customHeight="1" outlineLevel="5" x14ac:dyDescent="0.2">
      <c r="B1543" s="42">
        <v>1196</v>
      </c>
      <c r="C1543" s="5" t="s">
        <v>6366</v>
      </c>
      <c r="D1543" s="5" t="s">
        <v>6367</v>
      </c>
      <c r="E1543" s="6" t="s">
        <v>6368</v>
      </c>
      <c r="F1543" s="10"/>
      <c r="G1543" s="11" t="s">
        <v>6359</v>
      </c>
      <c r="H1543" s="12">
        <v>30</v>
      </c>
      <c r="I1543" s="13" t="s">
        <v>41</v>
      </c>
      <c r="J1543" s="13"/>
      <c r="K1543" s="13"/>
      <c r="L1543" s="4">
        <v>3</v>
      </c>
      <c r="M1543" s="14">
        <f>107*(1-P3/100)</f>
        <v>107</v>
      </c>
      <c r="N1543" s="15"/>
      <c r="O1543" s="13">
        <f t="shared" si="66"/>
        <v>0</v>
      </c>
      <c r="P1543" s="22">
        <f>0.053*N1543</f>
        <v>0</v>
      </c>
      <c r="Q1543" s="23">
        <f>0.00016*N1543</f>
        <v>0</v>
      </c>
      <c r="R1543" s="24"/>
      <c r="S1543" s="25" t="s">
        <v>6369</v>
      </c>
      <c r="T1543" s="25" t="s">
        <v>43</v>
      </c>
      <c r="U1543" s="5"/>
      <c r="V1543" s="5"/>
      <c r="W1543" s="5" t="s">
        <v>4985</v>
      </c>
      <c r="X1543" s="5"/>
      <c r="Y1543" s="5"/>
      <c r="Z1543" s="5" t="str">
        <f>HYPERLINK("https://knigipp.ru/api/getInfo/image/133fcb43-9c8d-11ed-a22e-00155d82e902")</f>
        <v>https://knigipp.ru/api/getInfo/image/133fcb43-9c8d-11ed-a22e-00155d82e902</v>
      </c>
      <c r="AA1543" s="33">
        <v>12</v>
      </c>
      <c r="AB1543" s="5"/>
      <c r="AC1543" s="5" t="s">
        <v>96</v>
      </c>
      <c r="AD1543" s="5"/>
      <c r="AE1543" s="5" t="s">
        <v>49</v>
      </c>
      <c r="AF1543" s="5"/>
      <c r="AG1543" s="5"/>
      <c r="AH1543" s="5" t="s">
        <v>6361</v>
      </c>
    </row>
    <row r="1544" spans="2:35" ht="21" customHeight="1" outlineLevel="5" x14ac:dyDescent="0.2">
      <c r="B1544" s="42">
        <v>1197</v>
      </c>
      <c r="C1544" s="5" t="s">
        <v>6370</v>
      </c>
      <c r="D1544" s="5" t="s">
        <v>6371</v>
      </c>
      <c r="E1544" s="6" t="s">
        <v>6372</v>
      </c>
      <c r="F1544" s="10"/>
      <c r="G1544" s="11" t="s">
        <v>420</v>
      </c>
      <c r="H1544" s="12">
        <v>30</v>
      </c>
      <c r="I1544" s="13" t="s">
        <v>261</v>
      </c>
      <c r="J1544" s="13"/>
      <c r="K1544" s="13"/>
      <c r="L1544" s="4">
        <v>3</v>
      </c>
      <c r="M1544" s="14">
        <f>107*(1-P3/100)</f>
        <v>107</v>
      </c>
      <c r="N1544" s="15"/>
      <c r="O1544" s="13">
        <f t="shared" si="66"/>
        <v>0</v>
      </c>
      <c r="P1544" s="32">
        <f>0.05*N1544</f>
        <v>0</v>
      </c>
      <c r="Q1544" s="23">
        <f>0.00012*N1544</f>
        <v>0</v>
      </c>
      <c r="R1544" s="24"/>
      <c r="S1544" s="25" t="s">
        <v>6373</v>
      </c>
      <c r="T1544" s="25" t="s">
        <v>43</v>
      </c>
      <c r="U1544" s="5"/>
      <c r="V1544" s="5" t="s">
        <v>6374</v>
      </c>
      <c r="W1544" s="5" t="s">
        <v>4985</v>
      </c>
      <c r="X1544" s="5"/>
      <c r="Y1544" s="5"/>
      <c r="Z1544" s="5" t="str">
        <f>HYPERLINK("https://knigipp.ru/api/getInfo/image/19008d57-ae52-11ef-a267-00155d82e908")</f>
        <v>https://knigipp.ru/api/getInfo/image/19008d57-ae52-11ef-a267-00155d82e908</v>
      </c>
      <c r="AA1544" s="33">
        <v>12</v>
      </c>
      <c r="AB1544" s="5"/>
      <c r="AC1544" s="5" t="s">
        <v>96</v>
      </c>
      <c r="AD1544" s="5"/>
      <c r="AE1544" s="5" t="s">
        <v>49</v>
      </c>
      <c r="AF1544" s="5"/>
      <c r="AG1544" s="5"/>
      <c r="AH1544" s="5" t="s">
        <v>6361</v>
      </c>
    </row>
    <row r="1545" spans="2:35" ht="21" customHeight="1" outlineLevel="5" x14ac:dyDescent="0.2">
      <c r="B1545" s="43">
        <v>1198</v>
      </c>
      <c r="C1545" s="8" t="s">
        <v>6375</v>
      </c>
      <c r="D1545" s="8" t="s">
        <v>6376</v>
      </c>
      <c r="E1545" s="9" t="s">
        <v>6377</v>
      </c>
      <c r="F1545" s="16"/>
      <c r="G1545" s="17" t="s">
        <v>6136</v>
      </c>
      <c r="H1545" s="18">
        <v>30</v>
      </c>
      <c r="I1545" s="19" t="s">
        <v>41</v>
      </c>
      <c r="J1545" s="19"/>
      <c r="K1545" s="19"/>
      <c r="L1545" s="7">
        <v>3</v>
      </c>
      <c r="M1545" s="21">
        <f>107*(1-P3/100)</f>
        <v>107</v>
      </c>
      <c r="N1545" s="15"/>
      <c r="O1545" s="19">
        <f t="shared" si="66"/>
        <v>0</v>
      </c>
      <c r="P1545" s="26">
        <f>0.054*N1545</f>
        <v>0</v>
      </c>
      <c r="Q1545" s="27">
        <f>0.00004*N1545</f>
        <v>0</v>
      </c>
      <c r="R1545" s="28" t="s">
        <v>81</v>
      </c>
      <c r="S1545" s="29" t="s">
        <v>6378</v>
      </c>
      <c r="T1545" s="29" t="s">
        <v>43</v>
      </c>
      <c r="U1545" s="8"/>
      <c r="V1545" s="8"/>
      <c r="W1545" s="8" t="s">
        <v>4985</v>
      </c>
      <c r="X1545" s="8"/>
      <c r="Y1545" s="8"/>
      <c r="Z1545" s="8" t="str">
        <f>HYPERLINK("https://knigipp.ru/api/getInfo/image/2ee88e3b-b662-11f0-a286-00155d82e908")</f>
        <v>https://knigipp.ru/api/getInfo/image/2ee88e3b-b662-11f0-a286-00155d82e908</v>
      </c>
      <c r="AA1545" s="34">
        <v>12</v>
      </c>
      <c r="AB1545" s="8" t="s">
        <v>47</v>
      </c>
      <c r="AC1545" s="8" t="s">
        <v>96</v>
      </c>
      <c r="AD1545" s="8"/>
      <c r="AE1545" s="8" t="s">
        <v>49</v>
      </c>
      <c r="AF1545" s="8"/>
      <c r="AG1545" s="8"/>
      <c r="AH1545" s="8" t="s">
        <v>6361</v>
      </c>
      <c r="AI1545" s="55"/>
    </row>
    <row r="1546" spans="2:35" ht="21" customHeight="1" outlineLevel="5" x14ac:dyDescent="0.2">
      <c r="B1546" s="42">
        <v>1199</v>
      </c>
      <c r="C1546" s="5" t="s">
        <v>6379</v>
      </c>
      <c r="D1546" s="5" t="s">
        <v>6380</v>
      </c>
      <c r="E1546" s="6" t="s">
        <v>6381</v>
      </c>
      <c r="F1546" s="10"/>
      <c r="G1546" s="11" t="s">
        <v>6382</v>
      </c>
      <c r="H1546" s="12">
        <v>30</v>
      </c>
      <c r="I1546" s="13" t="s">
        <v>41</v>
      </c>
      <c r="J1546" s="13"/>
      <c r="K1546" s="13"/>
      <c r="L1546" s="4">
        <v>3</v>
      </c>
      <c r="M1546" s="14">
        <f>107*(1-P3/100)</f>
        <v>107</v>
      </c>
      <c r="N1546" s="15"/>
      <c r="O1546" s="13">
        <f t="shared" si="66"/>
        <v>0</v>
      </c>
      <c r="P1546" s="22">
        <f>0.051*N1546</f>
        <v>0</v>
      </c>
      <c r="Q1546" s="23">
        <f>0.00027*N1546</f>
        <v>0</v>
      </c>
      <c r="R1546" s="24"/>
      <c r="S1546" s="25" t="s">
        <v>6383</v>
      </c>
      <c r="T1546" s="25" t="s">
        <v>43</v>
      </c>
      <c r="U1546" s="5"/>
      <c r="V1546" s="5"/>
      <c r="W1546" s="5" t="s">
        <v>4985</v>
      </c>
      <c r="X1546" s="5"/>
      <c r="Y1546" s="5"/>
      <c r="Z1546" s="5" t="str">
        <f>HYPERLINK("https://knigipp.ru/api/getInfo/image/b22a05ea-7f3b-11ef-a265-00155d82e908")</f>
        <v>https://knigipp.ru/api/getInfo/image/b22a05ea-7f3b-11ef-a265-00155d82e908</v>
      </c>
      <c r="AA1546" s="33">
        <v>12</v>
      </c>
      <c r="AB1546" s="5" t="s">
        <v>47</v>
      </c>
      <c r="AC1546" s="5" t="s">
        <v>96</v>
      </c>
      <c r="AD1546" s="5"/>
      <c r="AE1546" s="5" t="s">
        <v>49</v>
      </c>
      <c r="AF1546" s="5"/>
      <c r="AG1546" s="5"/>
      <c r="AH1546" s="5" t="s">
        <v>6361</v>
      </c>
    </row>
    <row r="1547" spans="2:35" ht="21" customHeight="1" outlineLevel="5" x14ac:dyDescent="0.2">
      <c r="B1547" s="42">
        <v>1200</v>
      </c>
      <c r="C1547" s="5" t="s">
        <v>6384</v>
      </c>
      <c r="D1547" s="5" t="s">
        <v>6385</v>
      </c>
      <c r="E1547" s="6" t="s">
        <v>6386</v>
      </c>
      <c r="F1547" s="10"/>
      <c r="G1547" s="11" t="s">
        <v>442</v>
      </c>
      <c r="H1547" s="12">
        <v>30</v>
      </c>
      <c r="I1547" s="13" t="s">
        <v>41</v>
      </c>
      <c r="J1547" s="13"/>
      <c r="K1547" s="13"/>
      <c r="L1547" s="4">
        <v>3</v>
      </c>
      <c r="M1547" s="14">
        <f>107*(1-P3/100)</f>
        <v>107</v>
      </c>
      <c r="N1547" s="15"/>
      <c r="O1547" s="13">
        <f t="shared" si="66"/>
        <v>0</v>
      </c>
      <c r="P1547" s="22">
        <f>0.052*N1547</f>
        <v>0</v>
      </c>
      <c r="Q1547" s="23">
        <f>0.00008*N1547</f>
        <v>0</v>
      </c>
      <c r="R1547" s="24"/>
      <c r="S1547" s="25" t="s">
        <v>6387</v>
      </c>
      <c r="T1547" s="25" t="s">
        <v>43</v>
      </c>
      <c r="U1547" s="5"/>
      <c r="V1547" s="5" t="s">
        <v>6388</v>
      </c>
      <c r="W1547" s="5" t="s">
        <v>4985</v>
      </c>
      <c r="X1547" s="5"/>
      <c r="Y1547" s="5"/>
      <c r="Z1547" s="5" t="str">
        <f>HYPERLINK("https://knigipp.ru/api/getInfo/image/8e13fab6-dfdb-11ef-a273-00155d82e908")</f>
        <v>https://knigipp.ru/api/getInfo/image/8e13fab6-dfdb-11ef-a273-00155d82e908</v>
      </c>
      <c r="AA1547" s="33">
        <v>12</v>
      </c>
      <c r="AB1547" s="5" t="s">
        <v>47</v>
      </c>
      <c r="AC1547" s="5" t="s">
        <v>96</v>
      </c>
      <c r="AD1547" s="5"/>
      <c r="AE1547" s="5" t="s">
        <v>49</v>
      </c>
      <c r="AF1547" s="5"/>
      <c r="AG1547" s="5"/>
      <c r="AH1547" s="5" t="s">
        <v>6361</v>
      </c>
    </row>
    <row r="1548" spans="2:35" ht="21" customHeight="1" outlineLevel="5" x14ac:dyDescent="0.2">
      <c r="B1548" s="43">
        <v>1201</v>
      </c>
      <c r="C1548" s="8" t="s">
        <v>6389</v>
      </c>
      <c r="D1548" s="8" t="s">
        <v>6390</v>
      </c>
      <c r="E1548" s="9" t="s">
        <v>6391</v>
      </c>
      <c r="F1548" s="16"/>
      <c r="G1548" s="17" t="s">
        <v>6168</v>
      </c>
      <c r="H1548" s="18">
        <v>30</v>
      </c>
      <c r="I1548" s="19" t="s">
        <v>41</v>
      </c>
      <c r="J1548" s="19"/>
      <c r="K1548" s="19"/>
      <c r="L1548" s="7">
        <v>3</v>
      </c>
      <c r="M1548" s="21">
        <f>107*(1-P3/100)</f>
        <v>107</v>
      </c>
      <c r="N1548" s="15"/>
      <c r="O1548" s="19">
        <f t="shared" si="66"/>
        <v>0</v>
      </c>
      <c r="P1548" s="26">
        <f>0.053*N1548</f>
        <v>0</v>
      </c>
      <c r="Q1548" s="27">
        <f>0.00008*N1548</f>
        <v>0</v>
      </c>
      <c r="R1548" s="28" t="s">
        <v>81</v>
      </c>
      <c r="S1548" s="29" t="s">
        <v>6392</v>
      </c>
      <c r="T1548" s="29" t="s">
        <v>43</v>
      </c>
      <c r="U1548" s="8"/>
      <c r="V1548" s="8"/>
      <c r="W1548" s="8" t="s">
        <v>4985</v>
      </c>
      <c r="X1548" s="8"/>
      <c r="Y1548" s="8"/>
      <c r="Z1548" s="8" t="str">
        <f>HYPERLINK("https://knigipp.ru/api/getInfo/image/6068e8a3-b662-11f0-a286-00155d82e908")</f>
        <v>https://knigipp.ru/api/getInfo/image/6068e8a3-b662-11f0-a286-00155d82e908</v>
      </c>
      <c r="AA1548" s="34">
        <v>12</v>
      </c>
      <c r="AB1548" s="8" t="s">
        <v>47</v>
      </c>
      <c r="AC1548" s="8" t="s">
        <v>96</v>
      </c>
      <c r="AD1548" s="8"/>
      <c r="AE1548" s="8" t="s">
        <v>49</v>
      </c>
      <c r="AF1548" s="8"/>
      <c r="AG1548" s="8"/>
      <c r="AH1548" s="8" t="s">
        <v>6361</v>
      </c>
      <c r="AI1548" s="55"/>
    </row>
    <row r="1549" spans="2:35" ht="22.95" customHeight="1" outlineLevel="3" x14ac:dyDescent="0.2">
      <c r="B1549" s="74" t="s">
        <v>6393</v>
      </c>
      <c r="C1549" s="74"/>
      <c r="D1549" s="74"/>
    </row>
    <row r="1550" spans="2:35" ht="22.95" customHeight="1" outlineLevel="4" x14ac:dyDescent="0.2">
      <c r="B1550" s="75" t="s">
        <v>6394</v>
      </c>
      <c r="C1550" s="75"/>
      <c r="D1550" s="75"/>
    </row>
    <row r="1551" spans="2:35" ht="21" customHeight="1" outlineLevel="5" x14ac:dyDescent="0.2">
      <c r="B1551" s="42">
        <v>1202</v>
      </c>
      <c r="C1551" s="5" t="s">
        <v>6395</v>
      </c>
      <c r="D1551" s="5" t="s">
        <v>6396</v>
      </c>
      <c r="E1551" s="6" t="s">
        <v>6397</v>
      </c>
      <c r="F1551" s="10"/>
      <c r="G1551" s="11" t="s">
        <v>6398</v>
      </c>
      <c r="H1551" s="12">
        <v>20</v>
      </c>
      <c r="I1551" s="13" t="s">
        <v>41</v>
      </c>
      <c r="J1551" s="13"/>
      <c r="K1551" s="13"/>
      <c r="L1551" s="4">
        <v>3</v>
      </c>
      <c r="M1551" s="14">
        <f>199*(1-P3/100)</f>
        <v>199</v>
      </c>
      <c r="N1551" s="15"/>
      <c r="O1551" s="13">
        <f>M1551*N1551</f>
        <v>0</v>
      </c>
      <c r="P1551" s="22">
        <f>0.117*N1551</f>
        <v>0</v>
      </c>
      <c r="Q1551" s="23">
        <f>0.00025*N1551</f>
        <v>0</v>
      </c>
      <c r="R1551" s="24"/>
      <c r="S1551" s="25" t="s">
        <v>6399</v>
      </c>
      <c r="T1551" s="25" t="s">
        <v>43</v>
      </c>
      <c r="U1551" s="5" t="s">
        <v>6400</v>
      </c>
      <c r="V1551" s="5" t="s">
        <v>6401</v>
      </c>
      <c r="W1551" s="5" t="s">
        <v>46</v>
      </c>
      <c r="X1551" s="5"/>
      <c r="Y1551" s="5"/>
      <c r="Z1551" s="5" t="str">
        <f>HYPERLINK("https://knigipp.ru/api/getInfo/image/8e5d3453-3a2a-11f0-a27c-00155d82e908")</f>
        <v>https://knigipp.ru/api/getInfo/image/8e5d3453-3a2a-11f0-a27c-00155d82e908</v>
      </c>
      <c r="AA1551" s="33">
        <v>64</v>
      </c>
      <c r="AB1551" s="5" t="s">
        <v>2259</v>
      </c>
      <c r="AC1551" s="5" t="s">
        <v>219</v>
      </c>
      <c r="AD1551" s="5"/>
      <c r="AE1551" s="5" t="s">
        <v>49</v>
      </c>
      <c r="AF1551" s="5"/>
      <c r="AG1551" s="5"/>
      <c r="AH1551" s="5" t="s">
        <v>6402</v>
      </c>
    </row>
    <row r="1552" spans="2:35" ht="21" customHeight="1" outlineLevel="5" x14ac:dyDescent="0.2">
      <c r="B1552" s="42">
        <v>1203</v>
      </c>
      <c r="C1552" s="5" t="s">
        <v>6403</v>
      </c>
      <c r="D1552" s="5" t="s">
        <v>6404</v>
      </c>
      <c r="E1552" s="6" t="s">
        <v>6405</v>
      </c>
      <c r="F1552" s="10"/>
      <c r="G1552" s="11" t="s">
        <v>6406</v>
      </c>
      <c r="H1552" s="12">
        <v>20</v>
      </c>
      <c r="I1552" s="13" t="s">
        <v>41</v>
      </c>
      <c r="J1552" s="13"/>
      <c r="K1552" s="13"/>
      <c r="L1552" s="4">
        <v>3</v>
      </c>
      <c r="M1552" s="14">
        <f>199*(1-P3/100)</f>
        <v>199</v>
      </c>
      <c r="N1552" s="15"/>
      <c r="O1552" s="13">
        <f>M1552*N1552</f>
        <v>0</v>
      </c>
      <c r="P1552" s="22">
        <f>0.114*N1552</f>
        <v>0</v>
      </c>
      <c r="Q1552" s="23">
        <f>0.00034*N1552</f>
        <v>0</v>
      </c>
      <c r="R1552" s="24"/>
      <c r="S1552" s="25" t="s">
        <v>6407</v>
      </c>
      <c r="T1552" s="25" t="s">
        <v>43</v>
      </c>
      <c r="U1552" s="5" t="s">
        <v>6400</v>
      </c>
      <c r="V1552" s="5" t="s">
        <v>6408</v>
      </c>
      <c r="W1552" s="5" t="s">
        <v>46</v>
      </c>
      <c r="X1552" s="5"/>
      <c r="Y1552" s="5"/>
      <c r="Z1552" s="5" t="str">
        <f>HYPERLINK("https://knigipp.ru/api/getInfo/image/5a46c5ac-3a2a-11f0-a27c-00155d82e908")</f>
        <v>https://knigipp.ru/api/getInfo/image/5a46c5ac-3a2a-11f0-a27c-00155d82e908</v>
      </c>
      <c r="AA1552" s="33">
        <v>64</v>
      </c>
      <c r="AB1552" s="5" t="s">
        <v>2259</v>
      </c>
      <c r="AC1552" s="5" t="s">
        <v>219</v>
      </c>
      <c r="AD1552" s="5"/>
      <c r="AE1552" s="5" t="s">
        <v>49</v>
      </c>
      <c r="AF1552" s="5"/>
      <c r="AG1552" s="5"/>
      <c r="AH1552" s="5" t="s">
        <v>6402</v>
      </c>
    </row>
    <row r="1553" spans="2:35" ht="22.95" customHeight="1" outlineLevel="4" x14ac:dyDescent="0.2">
      <c r="B1553" s="75" t="s">
        <v>6409</v>
      </c>
      <c r="C1553" s="75"/>
      <c r="D1553" s="75"/>
    </row>
    <row r="1554" spans="2:35" ht="21" customHeight="1" outlineLevel="5" x14ac:dyDescent="0.2">
      <c r="B1554" s="42">
        <v>1204</v>
      </c>
      <c r="C1554" s="5" t="s">
        <v>6410</v>
      </c>
      <c r="D1554" s="5" t="s">
        <v>6411</v>
      </c>
      <c r="E1554" s="6" t="s">
        <v>6412</v>
      </c>
      <c r="F1554" s="10"/>
      <c r="G1554" s="11" t="s">
        <v>6413</v>
      </c>
      <c r="H1554" s="12">
        <v>20</v>
      </c>
      <c r="I1554" s="13" t="s">
        <v>41</v>
      </c>
      <c r="J1554" s="13"/>
      <c r="K1554" s="13"/>
      <c r="L1554" s="4">
        <v>4</v>
      </c>
      <c r="M1554" s="14">
        <f>142*(1-P3/100)</f>
        <v>142</v>
      </c>
      <c r="N1554" s="15"/>
      <c r="O1554" s="13">
        <f t="shared" ref="O1554:O1561" si="67">M1554*N1554</f>
        <v>0</v>
      </c>
      <c r="P1554" s="22">
        <f>0.096*N1554</f>
        <v>0</v>
      </c>
      <c r="Q1554" s="23">
        <f>0.00016*N1554</f>
        <v>0</v>
      </c>
      <c r="R1554" s="24"/>
      <c r="S1554" s="25" t="s">
        <v>6414</v>
      </c>
      <c r="T1554" s="25" t="s">
        <v>43</v>
      </c>
      <c r="U1554" s="5" t="s">
        <v>6400</v>
      </c>
      <c r="V1554" s="5" t="s">
        <v>6415</v>
      </c>
      <c r="W1554" s="5" t="s">
        <v>2731</v>
      </c>
      <c r="X1554" s="5" t="s">
        <v>6288</v>
      </c>
      <c r="Y1554" s="5"/>
      <c r="Z1554" s="5" t="str">
        <f>HYPERLINK("https://knigipp.ru/api/getInfo/image/be3e1eed-66d1-11ef-a265-00155d82e908")</f>
        <v>https://knigipp.ru/api/getInfo/image/be3e1eed-66d1-11ef-a265-00155d82e908</v>
      </c>
      <c r="AA1554" s="33">
        <v>32</v>
      </c>
      <c r="AB1554" s="5" t="s">
        <v>47</v>
      </c>
      <c r="AC1554" s="5" t="s">
        <v>219</v>
      </c>
      <c r="AD1554" s="5"/>
      <c r="AE1554" s="5" t="s">
        <v>49</v>
      </c>
      <c r="AF1554" s="5"/>
      <c r="AG1554" s="5"/>
      <c r="AH1554" s="5" t="s">
        <v>6416</v>
      </c>
    </row>
    <row r="1555" spans="2:35" ht="21" customHeight="1" outlineLevel="5" x14ac:dyDescent="0.2">
      <c r="B1555" s="42">
        <v>1205</v>
      </c>
      <c r="C1555" s="5" t="s">
        <v>6417</v>
      </c>
      <c r="D1555" s="5" t="s">
        <v>6418</v>
      </c>
      <c r="E1555" s="6" t="s">
        <v>6419</v>
      </c>
      <c r="F1555" s="10"/>
      <c r="G1555" s="11" t="s">
        <v>6420</v>
      </c>
      <c r="H1555" s="12">
        <v>20</v>
      </c>
      <c r="I1555" s="13" t="s">
        <v>371</v>
      </c>
      <c r="J1555" s="13"/>
      <c r="K1555" s="13"/>
      <c r="L1555" s="4">
        <v>4</v>
      </c>
      <c r="M1555" s="14">
        <f>142*(1-P3/100)</f>
        <v>142</v>
      </c>
      <c r="N1555" s="15"/>
      <c r="O1555" s="13">
        <f t="shared" si="67"/>
        <v>0</v>
      </c>
      <c r="P1555" s="32">
        <f>0.09*N1555</f>
        <v>0</v>
      </c>
      <c r="Q1555" s="23">
        <f>0.00041*N1555</f>
        <v>0</v>
      </c>
      <c r="R1555" s="24"/>
      <c r="S1555" s="25" t="s">
        <v>6421</v>
      </c>
      <c r="T1555" s="25" t="s">
        <v>43</v>
      </c>
      <c r="U1555" s="5" t="s">
        <v>6400</v>
      </c>
      <c r="V1555" s="5" t="s">
        <v>6422</v>
      </c>
      <c r="W1555" s="5" t="s">
        <v>2731</v>
      </c>
      <c r="X1555" s="5"/>
      <c r="Y1555" s="5"/>
      <c r="Z1555" s="5" t="str">
        <f>HYPERLINK("https://knigipp.ru/api/getInfo/image/edcabbbe-1f4a-11ef-a25f-00155d82e908")</f>
        <v>https://knigipp.ru/api/getInfo/image/edcabbbe-1f4a-11ef-a25f-00155d82e908</v>
      </c>
      <c r="AA1555" s="33">
        <v>32</v>
      </c>
      <c r="AB1555" s="5" t="s">
        <v>47</v>
      </c>
      <c r="AC1555" s="5" t="s">
        <v>219</v>
      </c>
      <c r="AD1555" s="5"/>
      <c r="AE1555" s="5" t="s">
        <v>49</v>
      </c>
      <c r="AF1555" s="5"/>
      <c r="AG1555" s="5"/>
      <c r="AH1555" s="5" t="s">
        <v>6416</v>
      </c>
    </row>
    <row r="1556" spans="2:35" ht="21" customHeight="1" outlineLevel="5" x14ac:dyDescent="0.2">
      <c r="B1556" s="43">
        <v>1206</v>
      </c>
      <c r="C1556" s="8" t="s">
        <v>6423</v>
      </c>
      <c r="D1556" s="8" t="s">
        <v>6424</v>
      </c>
      <c r="E1556" s="9" t="s">
        <v>6425</v>
      </c>
      <c r="F1556" s="16"/>
      <c r="G1556" s="17" t="s">
        <v>6426</v>
      </c>
      <c r="H1556" s="18">
        <v>20</v>
      </c>
      <c r="I1556" s="19" t="s">
        <v>41</v>
      </c>
      <c r="J1556" s="19"/>
      <c r="K1556" s="19"/>
      <c r="L1556" s="7">
        <v>4</v>
      </c>
      <c r="M1556" s="21">
        <f>142*(1-P3/100)</f>
        <v>142</v>
      </c>
      <c r="N1556" s="15"/>
      <c r="O1556" s="19">
        <f t="shared" si="67"/>
        <v>0</v>
      </c>
      <c r="P1556" s="26">
        <f>0.119*N1556</f>
        <v>0</v>
      </c>
      <c r="Q1556" s="31">
        <f>0.0003*N1556</f>
        <v>0</v>
      </c>
      <c r="R1556" s="28" t="s">
        <v>81</v>
      </c>
      <c r="S1556" s="29" t="s">
        <v>6427</v>
      </c>
      <c r="T1556" s="29" t="s">
        <v>94</v>
      </c>
      <c r="U1556" s="8"/>
      <c r="V1556" s="8"/>
      <c r="W1556" s="8" t="s">
        <v>2731</v>
      </c>
      <c r="X1556" s="8"/>
      <c r="Y1556" s="8"/>
      <c r="Z1556" s="8" t="str">
        <f>HYPERLINK("https://knigipp.ru/api/getInfo/image/a1047ab5-b6f8-11f0-a287-00155d82e908")</f>
        <v>https://knigipp.ru/api/getInfo/image/a1047ab5-b6f8-11f0-a287-00155d82e908</v>
      </c>
      <c r="AA1556" s="34">
        <v>48</v>
      </c>
      <c r="AB1556" s="8" t="s">
        <v>47</v>
      </c>
      <c r="AC1556" s="8" t="s">
        <v>219</v>
      </c>
      <c r="AD1556" s="8"/>
      <c r="AE1556" s="8" t="s">
        <v>49</v>
      </c>
      <c r="AF1556" s="8"/>
      <c r="AG1556" s="8"/>
      <c r="AH1556" s="8" t="s">
        <v>6416</v>
      </c>
      <c r="AI1556" s="55"/>
    </row>
    <row r="1557" spans="2:35" ht="21" customHeight="1" outlineLevel="5" x14ac:dyDescent="0.2">
      <c r="B1557" s="43">
        <v>1207</v>
      </c>
      <c r="C1557" s="8" t="s">
        <v>6428</v>
      </c>
      <c r="D1557" s="8" t="s">
        <v>6429</v>
      </c>
      <c r="E1557" s="9" t="s">
        <v>6430</v>
      </c>
      <c r="F1557" s="16"/>
      <c r="G1557" s="17" t="s">
        <v>6431</v>
      </c>
      <c r="H1557" s="18">
        <v>20</v>
      </c>
      <c r="I1557" s="19" t="s">
        <v>41</v>
      </c>
      <c r="J1557" s="19"/>
      <c r="K1557" s="19"/>
      <c r="L1557" s="7">
        <v>4</v>
      </c>
      <c r="M1557" s="21">
        <f>142*(1-P3/100)</f>
        <v>142</v>
      </c>
      <c r="N1557" s="15"/>
      <c r="O1557" s="19">
        <f t="shared" si="67"/>
        <v>0</v>
      </c>
      <c r="P1557" s="26">
        <f>0.119*N1557</f>
        <v>0</v>
      </c>
      <c r="Q1557" s="31">
        <f>0.0003*N1557</f>
        <v>0</v>
      </c>
      <c r="R1557" s="28" t="s">
        <v>81</v>
      </c>
      <c r="S1557" s="29" t="s">
        <v>6432</v>
      </c>
      <c r="T1557" s="29" t="s">
        <v>94</v>
      </c>
      <c r="U1557" s="8"/>
      <c r="V1557" s="8"/>
      <c r="W1557" s="8" t="s">
        <v>2731</v>
      </c>
      <c r="X1557" s="8"/>
      <c r="Y1557" s="8"/>
      <c r="Z1557" s="8" t="str">
        <f>HYPERLINK("https://knigipp.ru/api/getInfo/image/494dcc3b-b6f8-11f0-a287-00155d82e908")</f>
        <v>https://knigipp.ru/api/getInfo/image/494dcc3b-b6f8-11f0-a287-00155d82e908</v>
      </c>
      <c r="AA1557" s="34">
        <v>48</v>
      </c>
      <c r="AB1557" s="8" t="s">
        <v>47</v>
      </c>
      <c r="AC1557" s="8" t="s">
        <v>219</v>
      </c>
      <c r="AD1557" s="8"/>
      <c r="AE1557" s="8" t="s">
        <v>49</v>
      </c>
      <c r="AF1557" s="8"/>
      <c r="AG1557" s="8"/>
      <c r="AH1557" s="8" t="s">
        <v>6416</v>
      </c>
      <c r="AI1557" s="55"/>
    </row>
    <row r="1558" spans="2:35" ht="21" customHeight="1" outlineLevel="5" x14ac:dyDescent="0.2">
      <c r="B1558" s="42">
        <v>1208</v>
      </c>
      <c r="C1558" s="5" t="s">
        <v>6433</v>
      </c>
      <c r="D1558" s="5" t="s">
        <v>6434</v>
      </c>
      <c r="E1558" s="6" t="s">
        <v>6435</v>
      </c>
      <c r="F1558" s="10"/>
      <c r="G1558" s="11" t="s">
        <v>6420</v>
      </c>
      <c r="H1558" s="12">
        <v>20</v>
      </c>
      <c r="I1558" s="13" t="s">
        <v>261</v>
      </c>
      <c r="J1558" s="13"/>
      <c r="K1558" s="13"/>
      <c r="L1558" s="4">
        <v>4</v>
      </c>
      <c r="M1558" s="14">
        <f>142*(1-P3/100)</f>
        <v>142</v>
      </c>
      <c r="N1558" s="15"/>
      <c r="O1558" s="13">
        <f t="shared" si="67"/>
        <v>0</v>
      </c>
      <c r="P1558" s="32">
        <f>0.09*N1558</f>
        <v>0</v>
      </c>
      <c r="Q1558" s="23">
        <f>0.00025*N1558</f>
        <v>0</v>
      </c>
      <c r="R1558" s="24"/>
      <c r="S1558" s="25" t="s">
        <v>6436</v>
      </c>
      <c r="T1558" s="25" t="s">
        <v>43</v>
      </c>
      <c r="U1558" s="5" t="s">
        <v>6400</v>
      </c>
      <c r="V1558" s="5" t="s">
        <v>6437</v>
      </c>
      <c r="W1558" s="5" t="s">
        <v>2731</v>
      </c>
      <c r="X1558" s="5"/>
      <c r="Y1558" s="5"/>
      <c r="Z1558" s="5" t="str">
        <f>HYPERLINK("https://knigipp.ru/api/getInfo/image/1387840a-1f4b-11ef-a25f-00155d82e908")</f>
        <v>https://knigipp.ru/api/getInfo/image/1387840a-1f4b-11ef-a25f-00155d82e908</v>
      </c>
      <c r="AA1558" s="33">
        <v>32</v>
      </c>
      <c r="AB1558" s="5" t="s">
        <v>47</v>
      </c>
      <c r="AC1558" s="5" t="s">
        <v>219</v>
      </c>
      <c r="AD1558" s="5"/>
      <c r="AE1558" s="5" t="s">
        <v>49</v>
      </c>
      <c r="AF1558" s="5"/>
      <c r="AG1558" s="5"/>
      <c r="AH1558" s="5" t="s">
        <v>6416</v>
      </c>
    </row>
    <row r="1559" spans="2:35" ht="21" customHeight="1" outlineLevel="5" x14ac:dyDescent="0.2">
      <c r="B1559" s="42">
        <v>1209</v>
      </c>
      <c r="C1559" s="5" t="s">
        <v>6438</v>
      </c>
      <c r="D1559" s="5" t="s">
        <v>6439</v>
      </c>
      <c r="E1559" s="6" t="s">
        <v>6440</v>
      </c>
      <c r="F1559" s="10"/>
      <c r="G1559" s="11" t="s">
        <v>6441</v>
      </c>
      <c r="H1559" s="12">
        <v>20</v>
      </c>
      <c r="I1559" s="13" t="s">
        <v>41</v>
      </c>
      <c r="J1559" s="13"/>
      <c r="K1559" s="13"/>
      <c r="L1559" s="4">
        <v>4</v>
      </c>
      <c r="M1559" s="14">
        <f>142*(1-P3/100)</f>
        <v>142</v>
      </c>
      <c r="N1559" s="15"/>
      <c r="O1559" s="13">
        <f t="shared" si="67"/>
        <v>0</v>
      </c>
      <c r="P1559" s="13">
        <v>0</v>
      </c>
      <c r="Q1559" s="13">
        <v>0</v>
      </c>
      <c r="R1559" s="24"/>
      <c r="S1559" s="25" t="s">
        <v>6442</v>
      </c>
      <c r="T1559" s="25" t="s">
        <v>43</v>
      </c>
      <c r="U1559" s="5" t="s">
        <v>6443</v>
      </c>
      <c r="V1559" s="5" t="s">
        <v>6444</v>
      </c>
      <c r="W1559" s="5" t="s">
        <v>2731</v>
      </c>
      <c r="X1559" s="5" t="s">
        <v>6288</v>
      </c>
      <c r="Y1559" s="5"/>
      <c r="Z1559" s="5" t="str">
        <f>HYPERLINK("https://knigipp.ru/api/getInfo/image/eeb2e7de-66d1-11ef-a265-00155d82e908")</f>
        <v>https://knigipp.ru/api/getInfo/image/eeb2e7de-66d1-11ef-a265-00155d82e908</v>
      </c>
      <c r="AA1559" s="33">
        <v>32</v>
      </c>
      <c r="AB1559" s="5" t="s">
        <v>47</v>
      </c>
      <c r="AC1559" s="5" t="s">
        <v>219</v>
      </c>
      <c r="AD1559" s="5"/>
      <c r="AE1559" s="5" t="s">
        <v>49</v>
      </c>
      <c r="AF1559" s="5"/>
      <c r="AG1559" s="5"/>
      <c r="AH1559" s="5" t="s">
        <v>6416</v>
      </c>
    </row>
    <row r="1560" spans="2:35" ht="21" customHeight="1" outlineLevel="5" x14ac:dyDescent="0.2">
      <c r="B1560" s="42">
        <v>1210</v>
      </c>
      <c r="C1560" s="5" t="s">
        <v>6445</v>
      </c>
      <c r="D1560" s="5" t="s">
        <v>6446</v>
      </c>
      <c r="E1560" s="6" t="s">
        <v>6447</v>
      </c>
      <c r="F1560" s="10"/>
      <c r="G1560" s="11" t="s">
        <v>6413</v>
      </c>
      <c r="H1560" s="12">
        <v>20</v>
      </c>
      <c r="I1560" s="13" t="s">
        <v>41</v>
      </c>
      <c r="J1560" s="13"/>
      <c r="K1560" s="13"/>
      <c r="L1560" s="4">
        <v>4</v>
      </c>
      <c r="M1560" s="14">
        <f>142*(1-P3/100)</f>
        <v>142</v>
      </c>
      <c r="N1560" s="15"/>
      <c r="O1560" s="13">
        <f t="shared" si="67"/>
        <v>0</v>
      </c>
      <c r="P1560" s="13">
        <v>0</v>
      </c>
      <c r="Q1560" s="13">
        <v>0</v>
      </c>
      <c r="R1560" s="24"/>
      <c r="S1560" s="25" t="s">
        <v>6448</v>
      </c>
      <c r="T1560" s="25" t="s">
        <v>43</v>
      </c>
      <c r="U1560" s="5" t="s">
        <v>6400</v>
      </c>
      <c r="V1560" s="5" t="s">
        <v>6449</v>
      </c>
      <c r="W1560" s="5" t="s">
        <v>2731</v>
      </c>
      <c r="X1560" s="5" t="s">
        <v>992</v>
      </c>
      <c r="Y1560" s="5"/>
      <c r="Z1560" s="5" t="str">
        <f>HYPERLINK("https://knigipp.ru/api/getInfo/image/8d729939-9781-11ef-a267-00155d82e908")</f>
        <v>https://knigipp.ru/api/getInfo/image/8d729939-9781-11ef-a267-00155d82e908</v>
      </c>
      <c r="AA1560" s="33">
        <v>32</v>
      </c>
      <c r="AB1560" s="5" t="s">
        <v>47</v>
      </c>
      <c r="AC1560" s="5" t="s">
        <v>219</v>
      </c>
      <c r="AD1560" s="5"/>
      <c r="AE1560" s="5" t="s">
        <v>49</v>
      </c>
      <c r="AF1560" s="5"/>
      <c r="AG1560" s="5"/>
      <c r="AH1560" s="5" t="s">
        <v>6416</v>
      </c>
    </row>
    <row r="1561" spans="2:35" ht="21" customHeight="1" outlineLevel="5" x14ac:dyDescent="0.2">
      <c r="B1561" s="42">
        <v>1211</v>
      </c>
      <c r="C1561" s="5" t="s">
        <v>6450</v>
      </c>
      <c r="D1561" s="5" t="s">
        <v>6451</v>
      </c>
      <c r="E1561" s="6" t="s">
        <v>6452</v>
      </c>
      <c r="F1561" s="10"/>
      <c r="G1561" s="11" t="s">
        <v>6441</v>
      </c>
      <c r="H1561" s="12">
        <v>20</v>
      </c>
      <c r="I1561" s="13" t="s">
        <v>41</v>
      </c>
      <c r="J1561" s="13"/>
      <c r="K1561" s="13"/>
      <c r="L1561" s="4">
        <v>4</v>
      </c>
      <c r="M1561" s="14">
        <f>142*(1-P3/100)</f>
        <v>142</v>
      </c>
      <c r="N1561" s="15"/>
      <c r="O1561" s="13">
        <f t="shared" si="67"/>
        <v>0</v>
      </c>
      <c r="P1561" s="22">
        <f>0.119*N1561</f>
        <v>0</v>
      </c>
      <c r="Q1561" s="30">
        <f>0.0003*N1561</f>
        <v>0</v>
      </c>
      <c r="R1561" s="24"/>
      <c r="S1561" s="25" t="s">
        <v>6453</v>
      </c>
      <c r="T1561" s="25" t="s">
        <v>43</v>
      </c>
      <c r="U1561" s="5" t="s">
        <v>6443</v>
      </c>
      <c r="V1561" s="5" t="s">
        <v>6454</v>
      </c>
      <c r="W1561" s="5" t="s">
        <v>2731</v>
      </c>
      <c r="X1561" s="5" t="s">
        <v>992</v>
      </c>
      <c r="Y1561" s="5"/>
      <c r="Z1561" s="5" t="str">
        <f>HYPERLINK("https://knigipp.ru/api/getInfo/image/638000d9-9781-11ef-a267-00155d82e908")</f>
        <v>https://knigipp.ru/api/getInfo/image/638000d9-9781-11ef-a267-00155d82e908</v>
      </c>
      <c r="AA1561" s="33">
        <v>32</v>
      </c>
      <c r="AB1561" s="5" t="s">
        <v>47</v>
      </c>
      <c r="AC1561" s="5" t="s">
        <v>219</v>
      </c>
      <c r="AD1561" s="5"/>
      <c r="AE1561" s="5" t="s">
        <v>49</v>
      </c>
      <c r="AF1561" s="5"/>
      <c r="AG1561" s="5"/>
      <c r="AH1561" s="5" t="s">
        <v>6416</v>
      </c>
    </row>
    <row r="1562" spans="2:35" ht="22.95" customHeight="1" outlineLevel="4" x14ac:dyDescent="0.2">
      <c r="B1562" s="75" t="s">
        <v>6455</v>
      </c>
      <c r="C1562" s="75"/>
      <c r="D1562" s="75"/>
    </row>
    <row r="1563" spans="2:35" ht="21" customHeight="1" outlineLevel="5" x14ac:dyDescent="0.2">
      <c r="B1563" s="42">
        <v>1212</v>
      </c>
      <c r="C1563" s="5" t="s">
        <v>6456</v>
      </c>
      <c r="D1563" s="5" t="s">
        <v>6457</v>
      </c>
      <c r="E1563" s="6" t="s">
        <v>6458</v>
      </c>
      <c r="F1563" s="10"/>
      <c r="G1563" s="11" t="s">
        <v>6459</v>
      </c>
      <c r="H1563" s="12">
        <v>24</v>
      </c>
      <c r="I1563" s="13" t="s">
        <v>41</v>
      </c>
      <c r="J1563" s="13"/>
      <c r="K1563" s="13"/>
      <c r="L1563" s="4">
        <v>4</v>
      </c>
      <c r="M1563" s="14">
        <f>169*(1-P3/100)</f>
        <v>169</v>
      </c>
      <c r="N1563" s="15"/>
      <c r="O1563" s="13">
        <f>M1563*N1563</f>
        <v>0</v>
      </c>
      <c r="P1563" s="22">
        <f>0.156*N1563</f>
        <v>0</v>
      </c>
      <c r="Q1563" s="30">
        <f>0.0003*N1563</f>
        <v>0</v>
      </c>
      <c r="R1563" s="24"/>
      <c r="S1563" s="25" t="s">
        <v>6460</v>
      </c>
      <c r="T1563" s="25" t="s">
        <v>43</v>
      </c>
      <c r="U1563" s="5"/>
      <c r="V1563" s="5" t="s">
        <v>6461</v>
      </c>
      <c r="W1563" s="5" t="s">
        <v>46</v>
      </c>
      <c r="X1563" s="5"/>
      <c r="Y1563" s="5"/>
      <c r="Z1563" s="5" t="str">
        <f>HYPERLINK("https://knigipp.ru/api/getInfo/image/871dc3bd-4d54-11ee-a244-00155d82e902")</f>
        <v>https://knigipp.ru/api/getInfo/image/871dc3bd-4d54-11ee-a244-00155d82e902</v>
      </c>
      <c r="AA1563" s="33">
        <v>48</v>
      </c>
      <c r="AB1563" s="5" t="s">
        <v>47</v>
      </c>
      <c r="AC1563" s="5" t="s">
        <v>219</v>
      </c>
      <c r="AD1563" s="5"/>
      <c r="AE1563" s="5" t="s">
        <v>49</v>
      </c>
      <c r="AF1563" s="5"/>
      <c r="AG1563" s="5"/>
      <c r="AH1563" s="5" t="s">
        <v>6462</v>
      </c>
    </row>
    <row r="1564" spans="2:35" ht="21" customHeight="1" outlineLevel="5" x14ac:dyDescent="0.2">
      <c r="B1564" s="42">
        <v>1213</v>
      </c>
      <c r="C1564" s="5" t="s">
        <v>6463</v>
      </c>
      <c r="D1564" s="5" t="s">
        <v>6464</v>
      </c>
      <c r="E1564" s="6" t="s">
        <v>6465</v>
      </c>
      <c r="F1564" s="10"/>
      <c r="G1564" s="11" t="s">
        <v>6459</v>
      </c>
      <c r="H1564" s="12">
        <v>24</v>
      </c>
      <c r="I1564" s="13" t="s">
        <v>371</v>
      </c>
      <c r="J1564" s="13"/>
      <c r="K1564" s="13"/>
      <c r="L1564" s="4">
        <v>4</v>
      </c>
      <c r="M1564" s="14">
        <f>169*(1-P3/100)</f>
        <v>169</v>
      </c>
      <c r="N1564" s="15"/>
      <c r="O1564" s="13">
        <f>M1564*N1564</f>
        <v>0</v>
      </c>
      <c r="P1564" s="22">
        <f>0.165*N1564</f>
        <v>0</v>
      </c>
      <c r="Q1564" s="23">
        <f>0.00025*N1564</f>
        <v>0</v>
      </c>
      <c r="R1564" s="24"/>
      <c r="S1564" s="25" t="s">
        <v>6466</v>
      </c>
      <c r="T1564" s="25" t="s">
        <v>43</v>
      </c>
      <c r="U1564" s="5"/>
      <c r="V1564" s="5" t="s">
        <v>6467</v>
      </c>
      <c r="W1564" s="5" t="s">
        <v>46</v>
      </c>
      <c r="X1564" s="5"/>
      <c r="Y1564" s="5"/>
      <c r="Z1564" s="5" t="str">
        <f>HYPERLINK("https://knigipp.ru/api/getInfo/image/100f0c81-4d55-11ee-a244-00155d82e902")</f>
        <v>https://knigipp.ru/api/getInfo/image/100f0c81-4d55-11ee-a244-00155d82e902</v>
      </c>
      <c r="AA1564" s="33">
        <v>48</v>
      </c>
      <c r="AB1564" s="5" t="s">
        <v>47</v>
      </c>
      <c r="AC1564" s="5" t="s">
        <v>219</v>
      </c>
      <c r="AD1564" s="5"/>
      <c r="AE1564" s="5" t="s">
        <v>49</v>
      </c>
      <c r="AF1564" s="5"/>
      <c r="AG1564" s="5"/>
      <c r="AH1564" s="5" t="s">
        <v>6462</v>
      </c>
    </row>
    <row r="1565" spans="2:35" ht="21" customHeight="1" outlineLevel="5" x14ac:dyDescent="0.2">
      <c r="B1565" s="42">
        <v>1214</v>
      </c>
      <c r="C1565" s="5" t="s">
        <v>6468</v>
      </c>
      <c r="D1565" s="5" t="s">
        <v>6469</v>
      </c>
      <c r="E1565" s="6" t="s">
        <v>6470</v>
      </c>
      <c r="F1565" s="10"/>
      <c r="G1565" s="11" t="s">
        <v>6459</v>
      </c>
      <c r="H1565" s="12">
        <v>24</v>
      </c>
      <c r="I1565" s="13" t="s">
        <v>261</v>
      </c>
      <c r="J1565" s="13"/>
      <c r="K1565" s="13"/>
      <c r="L1565" s="4">
        <v>4</v>
      </c>
      <c r="M1565" s="14">
        <f>169*(1-P3/100)</f>
        <v>169</v>
      </c>
      <c r="N1565" s="15"/>
      <c r="O1565" s="13">
        <f>M1565*N1565</f>
        <v>0</v>
      </c>
      <c r="P1565" s="22">
        <f>0.162*N1565</f>
        <v>0</v>
      </c>
      <c r="Q1565" s="23">
        <f>0.00045*N1565</f>
        <v>0</v>
      </c>
      <c r="R1565" s="24"/>
      <c r="S1565" s="25" t="s">
        <v>6471</v>
      </c>
      <c r="T1565" s="25" t="s">
        <v>43</v>
      </c>
      <c r="U1565" s="5"/>
      <c r="V1565" s="5" t="s">
        <v>6472</v>
      </c>
      <c r="W1565" s="5" t="s">
        <v>46</v>
      </c>
      <c r="X1565" s="5"/>
      <c r="Y1565" s="5"/>
      <c r="Z1565" s="5" t="str">
        <f>HYPERLINK("https://knigipp.ru/api/getInfo/image/a99813ab-4d54-11ee-a244-00155d82e902")</f>
        <v>https://knigipp.ru/api/getInfo/image/a99813ab-4d54-11ee-a244-00155d82e902</v>
      </c>
      <c r="AA1565" s="33">
        <v>48</v>
      </c>
      <c r="AB1565" s="5" t="s">
        <v>47</v>
      </c>
      <c r="AC1565" s="5" t="s">
        <v>219</v>
      </c>
      <c r="AD1565" s="5"/>
      <c r="AE1565" s="5" t="s">
        <v>49</v>
      </c>
      <c r="AF1565" s="5"/>
      <c r="AG1565" s="5"/>
      <c r="AH1565" s="5" t="s">
        <v>6462</v>
      </c>
    </row>
    <row r="1566" spans="2:35" ht="21" customHeight="1" outlineLevel="5" x14ac:dyDescent="0.2">
      <c r="B1566" s="42">
        <v>1215</v>
      </c>
      <c r="C1566" s="5" t="s">
        <v>6473</v>
      </c>
      <c r="D1566" s="5" t="s">
        <v>6474</v>
      </c>
      <c r="E1566" s="6" t="s">
        <v>6475</v>
      </c>
      <c r="F1566" s="10"/>
      <c r="G1566" s="11" t="s">
        <v>6459</v>
      </c>
      <c r="H1566" s="12">
        <v>24</v>
      </c>
      <c r="I1566" s="13" t="s">
        <v>371</v>
      </c>
      <c r="J1566" s="13"/>
      <c r="K1566" s="13"/>
      <c r="L1566" s="4">
        <v>4</v>
      </c>
      <c r="M1566" s="14">
        <f>169*(1-P3/100)</f>
        <v>169</v>
      </c>
      <c r="N1566" s="15"/>
      <c r="O1566" s="13">
        <f>M1566*N1566</f>
        <v>0</v>
      </c>
      <c r="P1566" s="32">
        <f>0.16*N1566</f>
        <v>0</v>
      </c>
      <c r="Q1566" s="23">
        <f>0.00024*N1566</f>
        <v>0</v>
      </c>
      <c r="R1566" s="24"/>
      <c r="S1566" s="25" t="s">
        <v>6476</v>
      </c>
      <c r="T1566" s="25" t="s">
        <v>43</v>
      </c>
      <c r="U1566" s="5"/>
      <c r="V1566" s="5" t="s">
        <v>6477</v>
      </c>
      <c r="W1566" s="5" t="s">
        <v>46</v>
      </c>
      <c r="X1566" s="5"/>
      <c r="Y1566" s="5"/>
      <c r="Z1566" s="5" t="str">
        <f>HYPERLINK("https://knigipp.ru/api/getInfo/image/eeff2308-4d54-11ee-a244-00155d82e902")</f>
        <v>https://knigipp.ru/api/getInfo/image/eeff2308-4d54-11ee-a244-00155d82e902</v>
      </c>
      <c r="AA1566" s="33">
        <v>48</v>
      </c>
      <c r="AB1566" s="5" t="s">
        <v>47</v>
      </c>
      <c r="AC1566" s="5" t="s">
        <v>219</v>
      </c>
      <c r="AD1566" s="5"/>
      <c r="AE1566" s="5" t="s">
        <v>49</v>
      </c>
      <c r="AF1566" s="5"/>
      <c r="AG1566" s="5"/>
      <c r="AH1566" s="5" t="s">
        <v>6462</v>
      </c>
    </row>
    <row r="1567" spans="2:35" ht="22.95" customHeight="1" outlineLevel="4" x14ac:dyDescent="0.2">
      <c r="B1567" s="75" t="s">
        <v>6478</v>
      </c>
      <c r="C1567" s="75"/>
      <c r="D1567" s="75"/>
    </row>
    <row r="1568" spans="2:35" ht="21" customHeight="1" outlineLevel="5" x14ac:dyDescent="0.2">
      <c r="B1568" s="42">
        <v>1216</v>
      </c>
      <c r="C1568" s="5" t="s">
        <v>6479</v>
      </c>
      <c r="D1568" s="5" t="s">
        <v>6480</v>
      </c>
      <c r="E1568" s="6" t="s">
        <v>6481</v>
      </c>
      <c r="F1568" s="10"/>
      <c r="G1568" s="11" t="s">
        <v>6482</v>
      </c>
      <c r="H1568" s="12">
        <v>20</v>
      </c>
      <c r="I1568" s="13" t="s">
        <v>41</v>
      </c>
      <c r="J1568" s="13"/>
      <c r="K1568" s="13"/>
      <c r="L1568" s="4">
        <v>3</v>
      </c>
      <c r="M1568" s="14">
        <f>219*(1-P3/100)</f>
        <v>219</v>
      </c>
      <c r="N1568" s="15"/>
      <c r="O1568" s="13">
        <f>M1568*N1568</f>
        <v>0</v>
      </c>
      <c r="P1568" s="32">
        <f>0.21*N1568</f>
        <v>0</v>
      </c>
      <c r="Q1568" s="23">
        <f>0.00029*N1568</f>
        <v>0</v>
      </c>
      <c r="R1568" s="24"/>
      <c r="S1568" s="25" t="s">
        <v>6483</v>
      </c>
      <c r="T1568" s="25" t="s">
        <v>43</v>
      </c>
      <c r="U1568" s="5"/>
      <c r="V1568" s="5"/>
      <c r="W1568" s="5" t="s">
        <v>46</v>
      </c>
      <c r="X1568" s="5"/>
      <c r="Y1568" s="5"/>
      <c r="Z1568" s="5" t="str">
        <f>HYPERLINK("https://knigipp.ru/api/getInfo/image/6e26c0b4-0b15-11ec-a20e-ac1f6b442185")</f>
        <v>https://knigipp.ru/api/getInfo/image/6e26c0b4-0b15-11ec-a20e-ac1f6b442185</v>
      </c>
      <c r="AA1568" s="33">
        <v>24</v>
      </c>
      <c r="AB1568" s="5"/>
      <c r="AC1568" s="5" t="s">
        <v>219</v>
      </c>
      <c r="AD1568" s="5"/>
      <c r="AE1568" s="5" t="s">
        <v>49</v>
      </c>
      <c r="AF1568" s="5"/>
      <c r="AG1568" s="5"/>
      <c r="AH1568" s="5" t="s">
        <v>3967</v>
      </c>
    </row>
    <row r="1569" spans="2:34" ht="21" customHeight="1" outlineLevel="5" x14ac:dyDescent="0.2">
      <c r="B1569" s="42">
        <v>1217</v>
      </c>
      <c r="C1569" s="5" t="s">
        <v>6484</v>
      </c>
      <c r="D1569" s="5" t="s">
        <v>6485</v>
      </c>
      <c r="E1569" s="6" t="s">
        <v>6486</v>
      </c>
      <c r="F1569" s="10"/>
      <c r="G1569" s="11" t="s">
        <v>6482</v>
      </c>
      <c r="H1569" s="12">
        <v>20</v>
      </c>
      <c r="I1569" s="13" t="s">
        <v>41</v>
      </c>
      <c r="J1569" s="13"/>
      <c r="K1569" s="13"/>
      <c r="L1569" s="4">
        <v>3</v>
      </c>
      <c r="M1569" s="14">
        <f>219*(1-P3/100)</f>
        <v>219</v>
      </c>
      <c r="N1569" s="15"/>
      <c r="O1569" s="13">
        <f>M1569*N1569</f>
        <v>0</v>
      </c>
      <c r="P1569" s="13">
        <v>0</v>
      </c>
      <c r="Q1569" s="13">
        <v>0</v>
      </c>
      <c r="R1569" s="24"/>
      <c r="S1569" s="25" t="s">
        <v>6487</v>
      </c>
      <c r="T1569" s="25" t="s">
        <v>43</v>
      </c>
      <c r="U1569" s="5"/>
      <c r="V1569" s="5"/>
      <c r="W1569" s="5" t="s">
        <v>46</v>
      </c>
      <c r="X1569" s="5"/>
      <c r="Y1569" s="5"/>
      <c r="Z1569" s="5" t="str">
        <f>HYPERLINK("https://knigipp.ru/api/getInfo/image/45bf3202-0b15-11ec-a20e-ac1f6b442185")</f>
        <v>https://knigipp.ru/api/getInfo/image/45bf3202-0b15-11ec-a20e-ac1f6b442185</v>
      </c>
      <c r="AA1569" s="33">
        <v>24</v>
      </c>
      <c r="AB1569" s="5"/>
      <c r="AC1569" s="5" t="s">
        <v>219</v>
      </c>
      <c r="AD1569" s="5"/>
      <c r="AE1569" s="5" t="s">
        <v>49</v>
      </c>
      <c r="AF1569" s="5"/>
      <c r="AG1569" s="5"/>
      <c r="AH1569" s="5" t="s">
        <v>3967</v>
      </c>
    </row>
    <row r="1570" spans="2:34" ht="21" customHeight="1" outlineLevel="5" x14ac:dyDescent="0.2">
      <c r="B1570" s="42">
        <v>1218</v>
      </c>
      <c r="C1570" s="5" t="s">
        <v>6488</v>
      </c>
      <c r="D1570" s="5" t="s">
        <v>6489</v>
      </c>
      <c r="E1570" s="6" t="s">
        <v>6490</v>
      </c>
      <c r="F1570" s="10"/>
      <c r="G1570" s="11" t="s">
        <v>6482</v>
      </c>
      <c r="H1570" s="12">
        <v>20</v>
      </c>
      <c r="I1570" s="13" t="s">
        <v>41</v>
      </c>
      <c r="J1570" s="13"/>
      <c r="K1570" s="13"/>
      <c r="L1570" s="4">
        <v>3</v>
      </c>
      <c r="M1570" s="14">
        <f>219*(1-P3/100)</f>
        <v>219</v>
      </c>
      <c r="N1570" s="15"/>
      <c r="O1570" s="13">
        <f>M1570*N1570</f>
        <v>0</v>
      </c>
      <c r="P1570" s="13">
        <v>0</v>
      </c>
      <c r="Q1570" s="13">
        <v>0</v>
      </c>
      <c r="R1570" s="24"/>
      <c r="S1570" s="25" t="s">
        <v>6491</v>
      </c>
      <c r="T1570" s="25" t="s">
        <v>43</v>
      </c>
      <c r="U1570" s="5"/>
      <c r="V1570" s="5"/>
      <c r="W1570" s="5" t="s">
        <v>46</v>
      </c>
      <c r="X1570" s="5"/>
      <c r="Y1570" s="5"/>
      <c r="Z1570" s="5" t="str">
        <f>HYPERLINK("https://knigipp.ru/api/getInfo/image/246e2a12-0b15-11ec-a20e-ac1f6b442185")</f>
        <v>https://knigipp.ru/api/getInfo/image/246e2a12-0b15-11ec-a20e-ac1f6b442185</v>
      </c>
      <c r="AA1570" s="33">
        <v>24</v>
      </c>
      <c r="AB1570" s="5"/>
      <c r="AC1570" s="5" t="s">
        <v>219</v>
      </c>
      <c r="AD1570" s="5"/>
      <c r="AE1570" s="5" t="s">
        <v>49</v>
      </c>
      <c r="AF1570" s="5"/>
      <c r="AG1570" s="5"/>
      <c r="AH1570" s="5" t="s">
        <v>3967</v>
      </c>
    </row>
    <row r="1571" spans="2:34" ht="21" customHeight="1" outlineLevel="5" x14ac:dyDescent="0.2">
      <c r="B1571" s="42">
        <v>1219</v>
      </c>
      <c r="C1571" s="5" t="s">
        <v>6492</v>
      </c>
      <c r="D1571" s="5" t="s">
        <v>6493</v>
      </c>
      <c r="E1571" s="6" t="s">
        <v>6494</v>
      </c>
      <c r="F1571" s="10"/>
      <c r="G1571" s="11" t="s">
        <v>6482</v>
      </c>
      <c r="H1571" s="12">
        <v>20</v>
      </c>
      <c r="I1571" s="13" t="s">
        <v>41</v>
      </c>
      <c r="J1571" s="13"/>
      <c r="K1571" s="13"/>
      <c r="L1571" s="4">
        <v>3</v>
      </c>
      <c r="M1571" s="14">
        <f>219*(1-P3/100)</f>
        <v>219</v>
      </c>
      <c r="N1571" s="15"/>
      <c r="O1571" s="13">
        <f>M1571*N1571</f>
        <v>0</v>
      </c>
      <c r="P1571" s="13">
        <v>0</v>
      </c>
      <c r="Q1571" s="13">
        <v>0</v>
      </c>
      <c r="R1571" s="24"/>
      <c r="S1571" s="25" t="s">
        <v>6495</v>
      </c>
      <c r="T1571" s="25" t="s">
        <v>43</v>
      </c>
      <c r="U1571" s="5"/>
      <c r="V1571" s="5"/>
      <c r="W1571" s="5" t="s">
        <v>46</v>
      </c>
      <c r="X1571" s="5"/>
      <c r="Y1571" s="5"/>
      <c r="Z1571" s="5" t="str">
        <f>HYPERLINK("https://knigipp.ru/api/getInfo/image/ecb9055b-0b14-11ec-a20e-ac1f6b442185")</f>
        <v>https://knigipp.ru/api/getInfo/image/ecb9055b-0b14-11ec-a20e-ac1f6b442185</v>
      </c>
      <c r="AA1571" s="33">
        <v>24</v>
      </c>
      <c r="AB1571" s="5"/>
      <c r="AC1571" s="5" t="s">
        <v>219</v>
      </c>
      <c r="AD1571" s="5"/>
      <c r="AE1571" s="5" t="s">
        <v>49</v>
      </c>
      <c r="AF1571" s="5"/>
      <c r="AG1571" s="5"/>
      <c r="AH1571" s="5" t="s">
        <v>3967</v>
      </c>
    </row>
    <row r="1572" spans="2:34" ht="22.95" customHeight="1" outlineLevel="4" x14ac:dyDescent="0.2">
      <c r="B1572" s="75" t="s">
        <v>6496</v>
      </c>
      <c r="C1572" s="75"/>
      <c r="D1572" s="75"/>
    </row>
    <row r="1573" spans="2:34" ht="21" customHeight="1" outlineLevel="5" x14ac:dyDescent="0.2">
      <c r="B1573" s="42">
        <v>1220</v>
      </c>
      <c r="C1573" s="5" t="s">
        <v>6497</v>
      </c>
      <c r="D1573" s="5" t="s">
        <v>6498</v>
      </c>
      <c r="E1573" s="6" t="s">
        <v>6499</v>
      </c>
      <c r="F1573" s="10"/>
      <c r="G1573" s="11" t="s">
        <v>6500</v>
      </c>
      <c r="H1573" s="12">
        <v>30</v>
      </c>
      <c r="I1573" s="13" t="s">
        <v>41</v>
      </c>
      <c r="J1573" s="13"/>
      <c r="K1573" s="13"/>
      <c r="L1573" s="4">
        <v>6</v>
      </c>
      <c r="M1573" s="14">
        <f>107*(1-P3/100)</f>
        <v>107</v>
      </c>
      <c r="N1573" s="15"/>
      <c r="O1573" s="13">
        <f>M1573*N1573</f>
        <v>0</v>
      </c>
      <c r="P1573" s="22">
        <f>0.065*N1573</f>
        <v>0</v>
      </c>
      <c r="Q1573" s="30">
        <f>0.0001*N1573</f>
        <v>0</v>
      </c>
      <c r="R1573" s="24"/>
      <c r="S1573" s="25" t="s">
        <v>6501</v>
      </c>
      <c r="T1573" s="25" t="s">
        <v>43</v>
      </c>
      <c r="U1573" s="5"/>
      <c r="V1573" s="5" t="s">
        <v>6502</v>
      </c>
      <c r="W1573" s="5" t="s">
        <v>46</v>
      </c>
      <c r="X1573" s="5"/>
      <c r="Y1573" s="5"/>
      <c r="Z1573" s="5" t="str">
        <f>HYPERLINK("https://knigipp.ru/api/getInfo/image/4fea0a3d-25ca-11f0-a279-00155d82e908")</f>
        <v>https://knigipp.ru/api/getInfo/image/4fea0a3d-25ca-11f0-a279-00155d82e908</v>
      </c>
      <c r="AA1573" s="33">
        <v>32</v>
      </c>
      <c r="AB1573" s="5" t="s">
        <v>47</v>
      </c>
      <c r="AC1573" s="5" t="s">
        <v>96</v>
      </c>
      <c r="AD1573" s="5"/>
      <c r="AE1573" s="5" t="s">
        <v>49</v>
      </c>
      <c r="AF1573" s="5"/>
      <c r="AG1573" s="5"/>
      <c r="AH1573" s="5" t="s">
        <v>6503</v>
      </c>
    </row>
    <row r="1574" spans="2:34" ht="22.95" customHeight="1" outlineLevel="4" x14ac:dyDescent="0.2">
      <c r="B1574" s="75" t="s">
        <v>6504</v>
      </c>
      <c r="C1574" s="75"/>
      <c r="D1574" s="75"/>
    </row>
    <row r="1575" spans="2:34" ht="21" customHeight="1" outlineLevel="5" x14ac:dyDescent="0.2">
      <c r="B1575" s="42">
        <v>1221</v>
      </c>
      <c r="C1575" s="5" t="s">
        <v>6505</v>
      </c>
      <c r="D1575" s="5" t="s">
        <v>6506</v>
      </c>
      <c r="E1575" s="6" t="s">
        <v>6507</v>
      </c>
      <c r="F1575" s="10"/>
      <c r="G1575" s="11" t="s">
        <v>6508</v>
      </c>
      <c r="H1575" s="12">
        <v>20</v>
      </c>
      <c r="I1575" s="13" t="s">
        <v>261</v>
      </c>
      <c r="J1575" s="13"/>
      <c r="K1575" s="13"/>
      <c r="L1575" s="4">
        <v>5</v>
      </c>
      <c r="M1575" s="14">
        <f>145*(1-P3/100)</f>
        <v>145</v>
      </c>
      <c r="N1575" s="15"/>
      <c r="O1575" s="13">
        <f>M1575*N1575</f>
        <v>0</v>
      </c>
      <c r="P1575" s="13">
        <v>0</v>
      </c>
      <c r="Q1575" s="13">
        <v>0</v>
      </c>
      <c r="R1575" s="24"/>
      <c r="S1575" s="25" t="s">
        <v>6509</v>
      </c>
      <c r="T1575" s="25" t="s">
        <v>43</v>
      </c>
      <c r="U1575" s="5"/>
      <c r="V1575" s="5"/>
      <c r="W1575" s="5" t="s">
        <v>46</v>
      </c>
      <c r="X1575" s="5"/>
      <c r="Y1575" s="5"/>
      <c r="Z1575" s="5" t="str">
        <f>HYPERLINK("https://knigipp.ru/api/getInfo/image/5c3f8695-7223-11ec-a20f-ac1f6b442185")</f>
        <v>https://knigipp.ru/api/getInfo/image/5c3f8695-7223-11ec-a20f-ac1f6b442185</v>
      </c>
      <c r="AA1575" s="33">
        <v>32</v>
      </c>
      <c r="AB1575" s="5"/>
      <c r="AC1575" s="5" t="s">
        <v>48</v>
      </c>
      <c r="AD1575" s="5"/>
      <c r="AE1575" s="5" t="s">
        <v>49</v>
      </c>
      <c r="AF1575" s="5"/>
      <c r="AG1575" s="5"/>
      <c r="AH1575" s="5" t="s">
        <v>6510</v>
      </c>
    </row>
    <row r="1576" spans="2:34" ht="22.95" customHeight="1" outlineLevel="4" x14ac:dyDescent="0.2">
      <c r="B1576" s="75" t="s">
        <v>6511</v>
      </c>
      <c r="C1576" s="75"/>
      <c r="D1576" s="75"/>
    </row>
    <row r="1577" spans="2:34" ht="21" customHeight="1" outlineLevel="5" x14ac:dyDescent="0.2">
      <c r="B1577" s="42">
        <v>1222</v>
      </c>
      <c r="C1577" s="5" t="s">
        <v>6512</v>
      </c>
      <c r="D1577" s="5" t="s">
        <v>6513</v>
      </c>
      <c r="E1577" s="6" t="s">
        <v>6514</v>
      </c>
      <c r="F1577" s="10"/>
      <c r="G1577" s="11" t="s">
        <v>6515</v>
      </c>
      <c r="H1577" s="12">
        <v>20</v>
      </c>
      <c r="I1577" s="13" t="s">
        <v>371</v>
      </c>
      <c r="J1577" s="13"/>
      <c r="K1577" s="13"/>
      <c r="L1577" s="4">
        <v>8</v>
      </c>
      <c r="M1577" s="14">
        <f>87*(1-P3/100)</f>
        <v>87</v>
      </c>
      <c r="N1577" s="15"/>
      <c r="O1577" s="13">
        <f>M1577*N1577</f>
        <v>0</v>
      </c>
      <c r="P1577" s="13">
        <v>0</v>
      </c>
      <c r="Q1577" s="13">
        <v>0</v>
      </c>
      <c r="R1577" s="24"/>
      <c r="S1577" s="25" t="s">
        <v>6516</v>
      </c>
      <c r="T1577" s="25" t="s">
        <v>94</v>
      </c>
      <c r="U1577" s="5"/>
      <c r="V1577" s="5" t="s">
        <v>6517</v>
      </c>
      <c r="W1577" s="5" t="s">
        <v>46</v>
      </c>
      <c r="X1577" s="5"/>
      <c r="Y1577" s="5"/>
      <c r="Z1577" s="5" t="str">
        <f>HYPERLINK("https://knigipp.ru/api/getInfo/image/81999f5f-611f-11ee-a245-00155d82e902")</f>
        <v>https://knigipp.ru/api/getInfo/image/81999f5f-611f-11ee-a245-00155d82e902</v>
      </c>
      <c r="AA1577" s="33">
        <v>16</v>
      </c>
      <c r="AB1577" s="5" t="s">
        <v>574</v>
      </c>
      <c r="AC1577" s="5" t="s">
        <v>96</v>
      </c>
      <c r="AD1577" s="5"/>
      <c r="AE1577" s="5" t="s">
        <v>49</v>
      </c>
      <c r="AF1577" s="5"/>
      <c r="AG1577" s="5"/>
      <c r="AH1577" s="5" t="s">
        <v>5023</v>
      </c>
    </row>
    <row r="1578" spans="2:34" ht="22.95" customHeight="1" outlineLevel="4" x14ac:dyDescent="0.2">
      <c r="B1578" s="75" t="s">
        <v>6518</v>
      </c>
      <c r="C1578" s="75"/>
      <c r="D1578" s="75"/>
    </row>
    <row r="1579" spans="2:34" ht="21" customHeight="1" outlineLevel="5" x14ac:dyDescent="0.2">
      <c r="B1579" s="42">
        <v>1223</v>
      </c>
      <c r="C1579" s="5" t="s">
        <v>6519</v>
      </c>
      <c r="D1579" s="5" t="s">
        <v>6520</v>
      </c>
      <c r="E1579" s="6" t="s">
        <v>6521</v>
      </c>
      <c r="F1579" s="10"/>
      <c r="G1579" s="11" t="s">
        <v>6522</v>
      </c>
      <c r="H1579" s="12">
        <v>20</v>
      </c>
      <c r="I1579" s="13" t="s">
        <v>41</v>
      </c>
      <c r="J1579" s="13"/>
      <c r="K1579" s="13"/>
      <c r="L1579" s="4">
        <v>4</v>
      </c>
      <c r="M1579" s="14">
        <f>167*(1-P3/100)</f>
        <v>167</v>
      </c>
      <c r="N1579" s="15"/>
      <c r="O1579" s="13">
        <f>M1579*N1579</f>
        <v>0</v>
      </c>
      <c r="P1579" s="22">
        <f>0.089*N1579</f>
        <v>0</v>
      </c>
      <c r="Q1579" s="23">
        <f>0.00016*N1579</f>
        <v>0</v>
      </c>
      <c r="R1579" s="24"/>
      <c r="S1579" s="25" t="s">
        <v>6523</v>
      </c>
      <c r="T1579" s="25" t="s">
        <v>94</v>
      </c>
      <c r="U1579" s="5"/>
      <c r="V1579" s="5" t="s">
        <v>6524</v>
      </c>
      <c r="W1579" s="5" t="s">
        <v>46</v>
      </c>
      <c r="X1579" s="5"/>
      <c r="Y1579" s="5"/>
      <c r="Z1579" s="5" t="str">
        <f>HYPERLINK("https://knigipp.ru/api/getInfo/image/417843ed-c4fa-11ef-a268-00155d82e908")</f>
        <v>https://knigipp.ru/api/getInfo/image/417843ed-c4fa-11ef-a268-00155d82e908</v>
      </c>
      <c r="AA1579" s="33">
        <v>48</v>
      </c>
      <c r="AB1579" s="5" t="s">
        <v>2259</v>
      </c>
      <c r="AC1579" s="5" t="s">
        <v>219</v>
      </c>
      <c r="AD1579" s="5"/>
      <c r="AE1579" s="5" t="s">
        <v>49</v>
      </c>
      <c r="AF1579" s="5"/>
      <c r="AG1579" s="5"/>
      <c r="AH1579" s="5" t="s">
        <v>6525</v>
      </c>
    </row>
    <row r="1580" spans="2:34" ht="21" customHeight="1" outlineLevel="5" x14ac:dyDescent="0.2">
      <c r="B1580" s="42">
        <v>1224</v>
      </c>
      <c r="C1580" s="5" t="s">
        <v>6526</v>
      </c>
      <c r="D1580" s="5" t="s">
        <v>6527</v>
      </c>
      <c r="E1580" s="6" t="s">
        <v>6528</v>
      </c>
      <c r="F1580" s="10"/>
      <c r="G1580" s="11" t="s">
        <v>6522</v>
      </c>
      <c r="H1580" s="12">
        <v>20</v>
      </c>
      <c r="I1580" s="13" t="s">
        <v>41</v>
      </c>
      <c r="J1580" s="13"/>
      <c r="K1580" s="13"/>
      <c r="L1580" s="4">
        <v>4</v>
      </c>
      <c r="M1580" s="14">
        <f>167*(1-P3/100)</f>
        <v>167</v>
      </c>
      <c r="N1580" s="15"/>
      <c r="O1580" s="13">
        <f>M1580*N1580</f>
        <v>0</v>
      </c>
      <c r="P1580" s="22">
        <f>0.086*N1580</f>
        <v>0</v>
      </c>
      <c r="Q1580" s="23">
        <f>0.00019*N1580</f>
        <v>0</v>
      </c>
      <c r="R1580" s="24"/>
      <c r="S1580" s="25" t="s">
        <v>6529</v>
      </c>
      <c r="T1580" s="25" t="s">
        <v>94</v>
      </c>
      <c r="U1580" s="5"/>
      <c r="V1580" s="5" t="s">
        <v>6530</v>
      </c>
      <c r="W1580" s="5" t="s">
        <v>46</v>
      </c>
      <c r="X1580" s="5"/>
      <c r="Y1580" s="5"/>
      <c r="Z1580" s="5" t="str">
        <f>HYPERLINK("https://knigipp.ru/api/getInfo/image/0ec7cd61-c4fa-11ef-a268-00155d82e908")</f>
        <v>https://knigipp.ru/api/getInfo/image/0ec7cd61-c4fa-11ef-a268-00155d82e908</v>
      </c>
      <c r="AA1580" s="33">
        <v>48</v>
      </c>
      <c r="AB1580" s="5" t="s">
        <v>2259</v>
      </c>
      <c r="AC1580" s="5" t="s">
        <v>219</v>
      </c>
      <c r="AD1580" s="5"/>
      <c r="AE1580" s="5" t="s">
        <v>49</v>
      </c>
      <c r="AF1580" s="5"/>
      <c r="AG1580" s="5"/>
      <c r="AH1580" s="5" t="s">
        <v>6525</v>
      </c>
    </row>
    <row r="1581" spans="2:34" ht="22.95" customHeight="1" outlineLevel="4" x14ac:dyDescent="0.2">
      <c r="B1581" s="75" t="s">
        <v>6531</v>
      </c>
      <c r="C1581" s="75"/>
      <c r="D1581" s="75"/>
    </row>
    <row r="1582" spans="2:34" ht="21" customHeight="1" outlineLevel="5" x14ac:dyDescent="0.2">
      <c r="B1582" s="42">
        <v>1225</v>
      </c>
      <c r="C1582" s="5" t="s">
        <v>6532</v>
      </c>
      <c r="D1582" s="5" t="s">
        <v>6533</v>
      </c>
      <c r="E1582" s="6" t="s">
        <v>6534</v>
      </c>
      <c r="F1582" s="10"/>
      <c r="G1582" s="11" t="s">
        <v>6535</v>
      </c>
      <c r="H1582" s="12">
        <v>30</v>
      </c>
      <c r="I1582" s="13" t="s">
        <v>41</v>
      </c>
      <c r="J1582" s="13"/>
      <c r="K1582" s="13"/>
      <c r="L1582" s="4">
        <v>5</v>
      </c>
      <c r="M1582" s="14">
        <f>137*(1-P3/100)</f>
        <v>137</v>
      </c>
      <c r="N1582" s="15"/>
      <c r="O1582" s="13">
        <f>M1582*N1582</f>
        <v>0</v>
      </c>
      <c r="P1582" s="22">
        <f>0.156*N1582</f>
        <v>0</v>
      </c>
      <c r="Q1582" s="23">
        <f>0.00018*N1582</f>
        <v>0</v>
      </c>
      <c r="R1582" s="24"/>
      <c r="S1582" s="25" t="s">
        <v>6536</v>
      </c>
      <c r="T1582" s="25" t="s">
        <v>43</v>
      </c>
      <c r="U1582" s="5"/>
      <c r="V1582" s="5"/>
      <c r="W1582" s="5" t="s">
        <v>46</v>
      </c>
      <c r="X1582" s="5"/>
      <c r="Y1582" s="5"/>
      <c r="Z1582" s="5" t="str">
        <f>HYPERLINK("https://knigipp.ru/api/getInfo/image/d8444383-49c5-11eb-a25e-ac1f6b442184")</f>
        <v>https://knigipp.ru/api/getInfo/image/d8444383-49c5-11eb-a25e-ac1f6b442184</v>
      </c>
      <c r="AA1582" s="33">
        <v>48</v>
      </c>
      <c r="AB1582" s="5"/>
      <c r="AC1582" s="5" t="s">
        <v>96</v>
      </c>
      <c r="AD1582" s="5"/>
      <c r="AE1582" s="5" t="s">
        <v>49</v>
      </c>
      <c r="AF1582" s="5"/>
      <c r="AG1582" s="5"/>
      <c r="AH1582" s="5" t="s">
        <v>6537</v>
      </c>
    </row>
    <row r="1583" spans="2:34" ht="22.95" customHeight="1" outlineLevel="4" x14ac:dyDescent="0.2">
      <c r="B1583" s="75" t="s">
        <v>6538</v>
      </c>
      <c r="C1583" s="75"/>
      <c r="D1583" s="75"/>
    </row>
    <row r="1584" spans="2:34" ht="21" customHeight="1" outlineLevel="5" x14ac:dyDescent="0.2">
      <c r="B1584" s="42">
        <v>1226</v>
      </c>
      <c r="C1584" s="5" t="s">
        <v>6539</v>
      </c>
      <c r="D1584" s="5" t="s">
        <v>6540</v>
      </c>
      <c r="E1584" s="6" t="s">
        <v>6541</v>
      </c>
      <c r="F1584" s="10"/>
      <c r="G1584" s="11" t="s">
        <v>6542</v>
      </c>
      <c r="H1584" s="12">
        <v>25</v>
      </c>
      <c r="I1584" s="13" t="s">
        <v>261</v>
      </c>
      <c r="J1584" s="13"/>
      <c r="K1584" s="13"/>
      <c r="L1584" s="4">
        <v>6</v>
      </c>
      <c r="M1584" s="14">
        <f>100.95*(1-P3/100)</f>
        <v>100.95</v>
      </c>
      <c r="N1584" s="15"/>
      <c r="O1584" s="13">
        <f>M1584*N1584</f>
        <v>0</v>
      </c>
      <c r="P1584" s="22">
        <f>0.203*N1584</f>
        <v>0</v>
      </c>
      <c r="Q1584" s="23">
        <f>0.00061*N1584</f>
        <v>0</v>
      </c>
      <c r="R1584" s="24"/>
      <c r="S1584" s="25" t="s">
        <v>6543</v>
      </c>
      <c r="T1584" s="25" t="s">
        <v>43</v>
      </c>
      <c r="U1584" s="5"/>
      <c r="V1584" s="5"/>
      <c r="W1584" s="5" t="s">
        <v>46</v>
      </c>
      <c r="X1584" s="5"/>
      <c r="Y1584" s="5"/>
      <c r="Z1584" s="5" t="str">
        <f>HYPERLINK("https://knigipp.ru/api/getInfo/image/8e4c23d7-0c8e-11eb-a25b-ac1f6b442184")</f>
        <v>https://knigipp.ru/api/getInfo/image/8e4c23d7-0c8e-11eb-a25b-ac1f6b442184</v>
      </c>
      <c r="AA1584" s="33">
        <v>48</v>
      </c>
      <c r="AB1584" s="5"/>
      <c r="AC1584" s="5" t="s">
        <v>48</v>
      </c>
      <c r="AD1584" s="5"/>
      <c r="AE1584" s="5" t="s">
        <v>49</v>
      </c>
      <c r="AF1584" s="5"/>
      <c r="AG1584" s="5"/>
      <c r="AH1584" s="5" t="s">
        <v>6544</v>
      </c>
    </row>
    <row r="1585" spans="2:35" ht="21" customHeight="1" outlineLevel="5" x14ac:dyDescent="0.2">
      <c r="B1585" s="42">
        <v>1227</v>
      </c>
      <c r="C1585" s="5" t="s">
        <v>6545</v>
      </c>
      <c r="D1585" s="5" t="s">
        <v>6546</v>
      </c>
      <c r="E1585" s="6" t="s">
        <v>6547</v>
      </c>
      <c r="F1585" s="10"/>
      <c r="G1585" s="11" t="s">
        <v>6548</v>
      </c>
      <c r="H1585" s="12">
        <v>25</v>
      </c>
      <c r="I1585" s="13" t="s">
        <v>41</v>
      </c>
      <c r="J1585" s="13"/>
      <c r="K1585" s="13"/>
      <c r="L1585" s="4">
        <v>4</v>
      </c>
      <c r="M1585" s="14">
        <f>159*(1-P3/100)</f>
        <v>159</v>
      </c>
      <c r="N1585" s="15"/>
      <c r="O1585" s="13">
        <f>M1585*N1585</f>
        <v>0</v>
      </c>
      <c r="P1585" s="13">
        <v>0</v>
      </c>
      <c r="Q1585" s="13">
        <v>0</v>
      </c>
      <c r="R1585" s="24"/>
      <c r="S1585" s="25" t="s">
        <v>6549</v>
      </c>
      <c r="T1585" s="25" t="s">
        <v>43</v>
      </c>
      <c r="U1585" s="5"/>
      <c r="V1585" s="5"/>
      <c r="W1585" s="5" t="s">
        <v>46</v>
      </c>
      <c r="X1585" s="5"/>
      <c r="Y1585" s="5"/>
      <c r="Z1585" s="5" t="str">
        <f>HYPERLINK("https://knigipp.ru/api/getInfo/image/6f0a822a-b589-11ec-a211-ac1f6b442185")</f>
        <v>https://knigipp.ru/api/getInfo/image/6f0a822a-b589-11ec-a211-ac1f6b442185</v>
      </c>
      <c r="AA1585" s="33">
        <v>48</v>
      </c>
      <c r="AB1585" s="5"/>
      <c r="AC1585" s="5" t="s">
        <v>48</v>
      </c>
      <c r="AD1585" s="5"/>
      <c r="AE1585" s="5" t="s">
        <v>49</v>
      </c>
      <c r="AF1585" s="5"/>
      <c r="AG1585" s="5"/>
      <c r="AH1585" s="5" t="s">
        <v>6550</v>
      </c>
    </row>
    <row r="1586" spans="2:35" ht="21" customHeight="1" outlineLevel="5" x14ac:dyDescent="0.2">
      <c r="B1586" s="42">
        <v>1228</v>
      </c>
      <c r="C1586" s="5" t="s">
        <v>6551</v>
      </c>
      <c r="D1586" s="5" t="s">
        <v>6552</v>
      </c>
      <c r="E1586" s="6" t="s">
        <v>6553</v>
      </c>
      <c r="F1586" s="10"/>
      <c r="G1586" s="11" t="s">
        <v>6554</v>
      </c>
      <c r="H1586" s="12">
        <v>25</v>
      </c>
      <c r="I1586" s="13" t="s">
        <v>41</v>
      </c>
      <c r="J1586" s="13"/>
      <c r="K1586" s="13"/>
      <c r="L1586" s="4">
        <v>4</v>
      </c>
      <c r="M1586" s="14">
        <f>159*(1-P3/100)</f>
        <v>159</v>
      </c>
      <c r="N1586" s="15"/>
      <c r="O1586" s="13">
        <f>M1586*N1586</f>
        <v>0</v>
      </c>
      <c r="P1586" s="22">
        <f>0.201*N1586</f>
        <v>0</v>
      </c>
      <c r="Q1586" s="23">
        <f>0.00036*N1586</f>
        <v>0</v>
      </c>
      <c r="R1586" s="24"/>
      <c r="S1586" s="25" t="s">
        <v>6555</v>
      </c>
      <c r="T1586" s="25" t="s">
        <v>43</v>
      </c>
      <c r="U1586" s="5"/>
      <c r="V1586" s="5"/>
      <c r="W1586" s="5" t="s">
        <v>46</v>
      </c>
      <c r="X1586" s="5"/>
      <c r="Y1586" s="5"/>
      <c r="Z1586" s="5" t="str">
        <f>HYPERLINK("https://knigipp.ru/api/getInfo/image/fcdae004-c7c6-11ec-a212-ac1f6b442185")</f>
        <v>https://knigipp.ru/api/getInfo/image/fcdae004-c7c6-11ec-a212-ac1f6b442185</v>
      </c>
      <c r="AA1586" s="33">
        <v>48</v>
      </c>
      <c r="AB1586" s="5"/>
      <c r="AC1586" s="5" t="s">
        <v>48</v>
      </c>
      <c r="AD1586" s="5"/>
      <c r="AE1586" s="5" t="s">
        <v>49</v>
      </c>
      <c r="AF1586" s="5"/>
      <c r="AG1586" s="5"/>
      <c r="AH1586" s="5" t="s">
        <v>6550</v>
      </c>
    </row>
    <row r="1587" spans="2:35" ht="22.95" customHeight="1" outlineLevel="4" x14ac:dyDescent="0.2">
      <c r="B1587" s="75" t="s">
        <v>6556</v>
      </c>
      <c r="C1587" s="75"/>
      <c r="D1587" s="75"/>
    </row>
    <row r="1588" spans="2:35" ht="21" customHeight="1" outlineLevel="5" x14ac:dyDescent="0.2">
      <c r="B1588" s="42">
        <v>1229</v>
      </c>
      <c r="C1588" s="5" t="s">
        <v>6557</v>
      </c>
      <c r="D1588" s="5" t="s">
        <v>6558</v>
      </c>
      <c r="E1588" s="6" t="s">
        <v>6559</v>
      </c>
      <c r="F1588" s="10"/>
      <c r="G1588" s="11" t="s">
        <v>6560</v>
      </c>
      <c r="H1588" s="12">
        <v>20</v>
      </c>
      <c r="I1588" s="13" t="s">
        <v>41</v>
      </c>
      <c r="J1588" s="13"/>
      <c r="K1588" s="13"/>
      <c r="L1588" s="4">
        <v>4</v>
      </c>
      <c r="M1588" s="14">
        <f>167*(1-P3/100)</f>
        <v>167</v>
      </c>
      <c r="N1588" s="15"/>
      <c r="O1588" s="13">
        <f>M1588*N1588</f>
        <v>0</v>
      </c>
      <c r="P1588" s="22">
        <f>0.129*N1588</f>
        <v>0</v>
      </c>
      <c r="Q1588" s="23">
        <f>0.00068*N1588</f>
        <v>0</v>
      </c>
      <c r="R1588" s="24"/>
      <c r="S1588" s="25" t="s">
        <v>6561</v>
      </c>
      <c r="T1588" s="25" t="s">
        <v>43</v>
      </c>
      <c r="U1588" s="5"/>
      <c r="V1588" s="5"/>
      <c r="W1588" s="5" t="s">
        <v>2731</v>
      </c>
      <c r="X1588" s="5"/>
      <c r="Y1588" s="5"/>
      <c r="Z1588" s="5" t="str">
        <f>HYPERLINK("https://knigipp.ru/api/getInfo/image/e1da85a4-563c-11f0-a27f-00155d82e908")</f>
        <v>https://knigipp.ru/api/getInfo/image/e1da85a4-563c-11f0-a27f-00155d82e908</v>
      </c>
      <c r="AA1588" s="33">
        <v>48</v>
      </c>
      <c r="AB1588" s="5" t="s">
        <v>2259</v>
      </c>
      <c r="AC1588" s="5" t="s">
        <v>219</v>
      </c>
      <c r="AD1588" s="5"/>
      <c r="AE1588" s="5" t="s">
        <v>49</v>
      </c>
      <c r="AF1588" s="5"/>
      <c r="AG1588" s="5"/>
      <c r="AH1588" s="5" t="s">
        <v>6562</v>
      </c>
    </row>
    <row r="1589" spans="2:35" ht="22.95" customHeight="1" outlineLevel="4" x14ac:dyDescent="0.2">
      <c r="B1589" s="75" t="s">
        <v>6563</v>
      </c>
      <c r="C1589" s="75"/>
      <c r="D1589" s="75"/>
    </row>
    <row r="1590" spans="2:35" ht="21" customHeight="1" outlineLevel="5" x14ac:dyDescent="0.2">
      <c r="B1590" s="43">
        <v>1230</v>
      </c>
      <c r="C1590" s="8" t="s">
        <v>6564</v>
      </c>
      <c r="D1590" s="8" t="s">
        <v>6565</v>
      </c>
      <c r="E1590" s="9" t="s">
        <v>6566</v>
      </c>
      <c r="F1590" s="16"/>
      <c r="G1590" s="17" t="s">
        <v>6567</v>
      </c>
      <c r="H1590" s="18">
        <v>20</v>
      </c>
      <c r="I1590" s="19" t="s">
        <v>371</v>
      </c>
      <c r="J1590" s="19"/>
      <c r="K1590" s="19"/>
      <c r="L1590" s="7">
        <v>4</v>
      </c>
      <c r="M1590" s="21">
        <f>167*(1-P3/100)</f>
        <v>167</v>
      </c>
      <c r="N1590" s="15"/>
      <c r="O1590" s="19">
        <f>M1590*N1590</f>
        <v>0</v>
      </c>
      <c r="P1590" s="26">
        <f>0.092*N1590</f>
        <v>0</v>
      </c>
      <c r="Q1590" s="27">
        <f>0.00016*N1590</f>
        <v>0</v>
      </c>
      <c r="R1590" s="28" t="s">
        <v>81</v>
      </c>
      <c r="S1590" s="29" t="s">
        <v>6568</v>
      </c>
      <c r="T1590" s="29" t="s">
        <v>43</v>
      </c>
      <c r="U1590" s="8"/>
      <c r="V1590" s="8"/>
      <c r="W1590" s="8" t="s">
        <v>46</v>
      </c>
      <c r="X1590" s="8"/>
      <c r="Y1590" s="8"/>
      <c r="Z1590" s="8" t="str">
        <f>HYPERLINK("https://knigipp.ru/api/getInfo/image/14816327-b659-11f0-a286-00155d82e908")</f>
        <v>https://knigipp.ru/api/getInfo/image/14816327-b659-11f0-a286-00155d82e908</v>
      </c>
      <c r="AA1590" s="34">
        <v>48</v>
      </c>
      <c r="AB1590" s="8" t="s">
        <v>2259</v>
      </c>
      <c r="AC1590" s="8" t="s">
        <v>219</v>
      </c>
      <c r="AD1590" s="8"/>
      <c r="AE1590" s="8" t="s">
        <v>49</v>
      </c>
      <c r="AF1590" s="8"/>
      <c r="AG1590" s="8"/>
      <c r="AH1590" s="8" t="s">
        <v>6525</v>
      </c>
      <c r="AI1590" s="55"/>
    </row>
    <row r="1591" spans="2:35" ht="21" customHeight="1" outlineLevel="5" x14ac:dyDescent="0.2">
      <c r="B1591" s="43">
        <v>1231</v>
      </c>
      <c r="C1591" s="8" t="s">
        <v>6569</v>
      </c>
      <c r="D1591" s="8" t="s">
        <v>6570</v>
      </c>
      <c r="E1591" s="9" t="s">
        <v>6571</v>
      </c>
      <c r="F1591" s="16"/>
      <c r="G1591" s="17" t="s">
        <v>6567</v>
      </c>
      <c r="H1591" s="18">
        <v>20</v>
      </c>
      <c r="I1591" s="19" t="s">
        <v>41</v>
      </c>
      <c r="J1591" s="19"/>
      <c r="K1591" s="19"/>
      <c r="L1591" s="7">
        <v>4</v>
      </c>
      <c r="M1591" s="21">
        <f>167*(1-P3/100)</f>
        <v>167</v>
      </c>
      <c r="N1591" s="15"/>
      <c r="O1591" s="19">
        <f>M1591*N1591</f>
        <v>0</v>
      </c>
      <c r="P1591" s="26">
        <f>0.088*N1591</f>
        <v>0</v>
      </c>
      <c r="Q1591" s="27">
        <f>0.00022*N1591</f>
        <v>0</v>
      </c>
      <c r="R1591" s="28" t="s">
        <v>81</v>
      </c>
      <c r="S1591" s="29" t="s">
        <v>6572</v>
      </c>
      <c r="T1591" s="29" t="s">
        <v>43</v>
      </c>
      <c r="U1591" s="8"/>
      <c r="V1591" s="8"/>
      <c r="W1591" s="8" t="s">
        <v>46</v>
      </c>
      <c r="X1591" s="8"/>
      <c r="Y1591" s="8"/>
      <c r="Z1591" s="8" t="str">
        <f>HYPERLINK("https://knigipp.ru/api/getInfo/image/df481e02-b658-11f0-a286-00155d82e908")</f>
        <v>https://knigipp.ru/api/getInfo/image/df481e02-b658-11f0-a286-00155d82e908</v>
      </c>
      <c r="AA1591" s="34">
        <v>48</v>
      </c>
      <c r="AB1591" s="8" t="s">
        <v>2259</v>
      </c>
      <c r="AC1591" s="8" t="s">
        <v>219</v>
      </c>
      <c r="AD1591" s="8"/>
      <c r="AE1591" s="8" t="s">
        <v>49</v>
      </c>
      <c r="AF1591" s="8"/>
      <c r="AG1591" s="8"/>
      <c r="AH1591" s="8" t="s">
        <v>6525</v>
      </c>
      <c r="AI1591" s="55"/>
    </row>
    <row r="1592" spans="2:35" ht="21" customHeight="1" outlineLevel="5" x14ac:dyDescent="0.2">
      <c r="B1592" s="42">
        <v>1232</v>
      </c>
      <c r="C1592" s="5" t="s">
        <v>6573</v>
      </c>
      <c r="D1592" s="5" t="s">
        <v>6574</v>
      </c>
      <c r="E1592" s="6" t="s">
        <v>6575</v>
      </c>
      <c r="F1592" s="10"/>
      <c r="G1592" s="11" t="s">
        <v>6576</v>
      </c>
      <c r="H1592" s="12">
        <v>20</v>
      </c>
      <c r="I1592" s="13" t="s">
        <v>371</v>
      </c>
      <c r="J1592" s="13"/>
      <c r="K1592" s="13"/>
      <c r="L1592" s="4">
        <v>4</v>
      </c>
      <c r="M1592" s="14">
        <f>167*(1-P3/100)</f>
        <v>167</v>
      </c>
      <c r="N1592" s="15"/>
      <c r="O1592" s="13">
        <f>M1592*N1592</f>
        <v>0</v>
      </c>
      <c r="P1592" s="22">
        <f>0.089*N1592</f>
        <v>0</v>
      </c>
      <c r="Q1592" s="23">
        <f>0.00031*N1592</f>
        <v>0</v>
      </c>
      <c r="R1592" s="24"/>
      <c r="S1592" s="25" t="s">
        <v>6577</v>
      </c>
      <c r="T1592" s="25" t="s">
        <v>43</v>
      </c>
      <c r="U1592" s="5"/>
      <c r="V1592" s="5"/>
      <c r="W1592" s="5" t="s">
        <v>46</v>
      </c>
      <c r="X1592" s="5"/>
      <c r="Y1592" s="5"/>
      <c r="Z1592" s="5" t="str">
        <f>HYPERLINK("https://knigipp.ru/api/getInfo/image/475fa981-dfcf-11ef-a273-00155d82e908")</f>
        <v>https://knigipp.ru/api/getInfo/image/475fa981-dfcf-11ef-a273-00155d82e908</v>
      </c>
      <c r="AA1592" s="33">
        <v>48</v>
      </c>
      <c r="AB1592" s="5" t="s">
        <v>2259</v>
      </c>
      <c r="AC1592" s="5" t="s">
        <v>219</v>
      </c>
      <c r="AD1592" s="5"/>
      <c r="AE1592" s="5" t="s">
        <v>49</v>
      </c>
      <c r="AF1592" s="5"/>
      <c r="AG1592" s="5"/>
      <c r="AH1592" s="5" t="s">
        <v>6525</v>
      </c>
    </row>
    <row r="1593" spans="2:35" ht="21" customHeight="1" outlineLevel="5" x14ac:dyDescent="0.2">
      <c r="B1593" s="42">
        <v>1233</v>
      </c>
      <c r="C1593" s="5" t="s">
        <v>6578</v>
      </c>
      <c r="D1593" s="5" t="s">
        <v>6579</v>
      </c>
      <c r="E1593" s="6" t="s">
        <v>6580</v>
      </c>
      <c r="F1593" s="10"/>
      <c r="G1593" s="11" t="s">
        <v>6576</v>
      </c>
      <c r="H1593" s="12">
        <v>20</v>
      </c>
      <c r="I1593" s="13" t="s">
        <v>371</v>
      </c>
      <c r="J1593" s="13"/>
      <c r="K1593" s="13"/>
      <c r="L1593" s="4">
        <v>4</v>
      </c>
      <c r="M1593" s="14">
        <f>167*(1-P3/100)</f>
        <v>167</v>
      </c>
      <c r="N1593" s="15"/>
      <c r="O1593" s="13">
        <f>M1593*N1593</f>
        <v>0</v>
      </c>
      <c r="P1593" s="22">
        <f>0.088*N1593</f>
        <v>0</v>
      </c>
      <c r="Q1593" s="23">
        <f>0.00025*N1593</f>
        <v>0</v>
      </c>
      <c r="R1593" s="24"/>
      <c r="S1593" s="25" t="s">
        <v>6581</v>
      </c>
      <c r="T1593" s="25" t="s">
        <v>43</v>
      </c>
      <c r="U1593" s="5"/>
      <c r="V1593" s="5"/>
      <c r="W1593" s="5" t="s">
        <v>46</v>
      </c>
      <c r="X1593" s="5"/>
      <c r="Y1593" s="5"/>
      <c r="Z1593" s="5" t="str">
        <f>HYPERLINK("https://knigipp.ru/api/getInfo/image/1b2c6ee2-dfcf-11ef-a273-00155d82e908")</f>
        <v>https://knigipp.ru/api/getInfo/image/1b2c6ee2-dfcf-11ef-a273-00155d82e908</v>
      </c>
      <c r="AA1593" s="33">
        <v>48</v>
      </c>
      <c r="AB1593" s="5" t="s">
        <v>2259</v>
      </c>
      <c r="AC1593" s="5" t="s">
        <v>219</v>
      </c>
      <c r="AD1593" s="5"/>
      <c r="AE1593" s="5" t="s">
        <v>49</v>
      </c>
      <c r="AF1593" s="5"/>
      <c r="AG1593" s="5"/>
      <c r="AH1593" s="5" t="s">
        <v>6525</v>
      </c>
    </row>
    <row r="1594" spans="2:35" ht="22.95" customHeight="1" outlineLevel="3" x14ac:dyDescent="0.2">
      <c r="B1594" s="74" t="s">
        <v>6582</v>
      </c>
      <c r="C1594" s="74"/>
      <c r="D1594" s="74"/>
    </row>
    <row r="1595" spans="2:35" ht="22.95" customHeight="1" outlineLevel="4" x14ac:dyDescent="0.2">
      <c r="B1595" s="75" t="s">
        <v>6583</v>
      </c>
      <c r="C1595" s="75"/>
      <c r="D1595" s="75"/>
    </row>
    <row r="1596" spans="2:35" ht="21" customHeight="1" outlineLevel="5" x14ac:dyDescent="0.2">
      <c r="B1596" s="42">
        <v>1234</v>
      </c>
      <c r="C1596" s="5" t="s">
        <v>6584</v>
      </c>
      <c r="D1596" s="5" t="s">
        <v>6585</v>
      </c>
      <c r="E1596" s="6" t="s">
        <v>6586</v>
      </c>
      <c r="F1596" s="10"/>
      <c r="G1596" s="11" t="s">
        <v>6587</v>
      </c>
      <c r="H1596" s="12">
        <v>60</v>
      </c>
      <c r="I1596" s="13" t="s">
        <v>371</v>
      </c>
      <c r="J1596" s="13"/>
      <c r="K1596" s="13"/>
      <c r="L1596" s="4">
        <v>8</v>
      </c>
      <c r="M1596" s="14">
        <f>85.5*(1-P3/100)</f>
        <v>85.5</v>
      </c>
      <c r="N1596" s="15"/>
      <c r="O1596" s="13">
        <f>M1596*N1596</f>
        <v>0</v>
      </c>
      <c r="P1596" s="32">
        <f>0.05*N1596</f>
        <v>0</v>
      </c>
      <c r="Q1596" s="23">
        <f>0.00023*N1596</f>
        <v>0</v>
      </c>
      <c r="R1596" s="24"/>
      <c r="S1596" s="25" t="s">
        <v>6588</v>
      </c>
      <c r="T1596" s="25" t="s">
        <v>43</v>
      </c>
      <c r="U1596" s="5"/>
      <c r="V1596" s="5"/>
      <c r="W1596" s="5" t="s">
        <v>46</v>
      </c>
      <c r="X1596" s="5"/>
      <c r="Y1596" s="5"/>
      <c r="Z1596" s="5" t="str">
        <f>HYPERLINK("https://knigipp.ru/api/getInfo/image/f9dd6146-7f38-11ef-a265-00155d82e908")</f>
        <v>https://knigipp.ru/api/getInfo/image/f9dd6146-7f38-11ef-a265-00155d82e908</v>
      </c>
      <c r="AA1596" s="33">
        <v>16</v>
      </c>
      <c r="AB1596" s="5" t="s">
        <v>47</v>
      </c>
      <c r="AC1596" s="5" t="s">
        <v>96</v>
      </c>
      <c r="AD1596" s="5"/>
      <c r="AE1596" s="5" t="s">
        <v>49</v>
      </c>
      <c r="AF1596" s="5"/>
      <c r="AG1596" s="5"/>
      <c r="AH1596" s="5" t="s">
        <v>6589</v>
      </c>
    </row>
    <row r="1597" spans="2:35" ht="21" customHeight="1" outlineLevel="5" x14ac:dyDescent="0.2">
      <c r="B1597" s="42">
        <v>1235</v>
      </c>
      <c r="C1597" s="5" t="s">
        <v>6590</v>
      </c>
      <c r="D1597" s="5" t="s">
        <v>6591</v>
      </c>
      <c r="E1597" s="6" t="s">
        <v>6592</v>
      </c>
      <c r="F1597" s="10"/>
      <c r="G1597" s="11" t="s">
        <v>6587</v>
      </c>
      <c r="H1597" s="12">
        <v>60</v>
      </c>
      <c r="I1597" s="13" t="s">
        <v>41</v>
      </c>
      <c r="J1597" s="13"/>
      <c r="K1597" s="13"/>
      <c r="L1597" s="4">
        <v>8</v>
      </c>
      <c r="M1597" s="14">
        <f>85.5*(1-P3/100)</f>
        <v>85.5</v>
      </c>
      <c r="N1597" s="15"/>
      <c r="O1597" s="13">
        <f>M1597*N1597</f>
        <v>0</v>
      </c>
      <c r="P1597" s="22">
        <f>0.052*N1597</f>
        <v>0</v>
      </c>
      <c r="Q1597" s="23">
        <f>0.00028*N1597</f>
        <v>0</v>
      </c>
      <c r="R1597" s="24"/>
      <c r="S1597" s="25" t="s">
        <v>6593</v>
      </c>
      <c r="T1597" s="25" t="s">
        <v>43</v>
      </c>
      <c r="U1597" s="5"/>
      <c r="V1597" s="5"/>
      <c r="W1597" s="5" t="s">
        <v>46</v>
      </c>
      <c r="X1597" s="5"/>
      <c r="Y1597" s="5"/>
      <c r="Z1597" s="5" t="str">
        <f>HYPERLINK("https://knigipp.ru/api/getInfo/image/3e1ed481-7f39-11ef-a265-00155d82e908")</f>
        <v>https://knigipp.ru/api/getInfo/image/3e1ed481-7f39-11ef-a265-00155d82e908</v>
      </c>
      <c r="AA1597" s="33">
        <v>16</v>
      </c>
      <c r="AB1597" s="5" t="s">
        <v>47</v>
      </c>
      <c r="AC1597" s="5" t="s">
        <v>96</v>
      </c>
      <c r="AD1597" s="5"/>
      <c r="AE1597" s="5" t="s">
        <v>49</v>
      </c>
      <c r="AF1597" s="5"/>
      <c r="AG1597" s="5"/>
      <c r="AH1597" s="5" t="s">
        <v>6589</v>
      </c>
    </row>
    <row r="1598" spans="2:35" ht="21" customHeight="1" outlineLevel="5" x14ac:dyDescent="0.2">
      <c r="B1598" s="42">
        <v>1236</v>
      </c>
      <c r="C1598" s="5" t="s">
        <v>6594</v>
      </c>
      <c r="D1598" s="5" t="s">
        <v>6595</v>
      </c>
      <c r="E1598" s="6" t="s">
        <v>6596</v>
      </c>
      <c r="F1598" s="10"/>
      <c r="G1598" s="11" t="s">
        <v>6587</v>
      </c>
      <c r="H1598" s="12">
        <v>60</v>
      </c>
      <c r="I1598" s="13" t="s">
        <v>261</v>
      </c>
      <c r="J1598" s="13"/>
      <c r="K1598" s="13"/>
      <c r="L1598" s="4">
        <v>8</v>
      </c>
      <c r="M1598" s="14">
        <f>85.5*(1-P3/100)</f>
        <v>85.5</v>
      </c>
      <c r="N1598" s="15"/>
      <c r="O1598" s="13">
        <f>M1598*N1598</f>
        <v>0</v>
      </c>
      <c r="P1598" s="32">
        <f>0.05*N1598</f>
        <v>0</v>
      </c>
      <c r="Q1598" s="23">
        <f>0.00023*N1598</f>
        <v>0</v>
      </c>
      <c r="R1598" s="24"/>
      <c r="S1598" s="25" t="s">
        <v>6597</v>
      </c>
      <c r="T1598" s="25" t="s">
        <v>43</v>
      </c>
      <c r="U1598" s="5"/>
      <c r="V1598" s="5"/>
      <c r="W1598" s="5" t="s">
        <v>46</v>
      </c>
      <c r="X1598" s="5"/>
      <c r="Y1598" s="5"/>
      <c r="Z1598" s="5" t="str">
        <f>HYPERLINK("https://knigipp.ru/api/getInfo/image/5dab9cc1-7f39-11ef-a265-00155d82e908")</f>
        <v>https://knigipp.ru/api/getInfo/image/5dab9cc1-7f39-11ef-a265-00155d82e908</v>
      </c>
      <c r="AA1598" s="33">
        <v>16</v>
      </c>
      <c r="AB1598" s="5" t="s">
        <v>47</v>
      </c>
      <c r="AC1598" s="5" t="s">
        <v>96</v>
      </c>
      <c r="AD1598" s="5"/>
      <c r="AE1598" s="5" t="s">
        <v>49</v>
      </c>
      <c r="AF1598" s="5"/>
      <c r="AG1598" s="5"/>
      <c r="AH1598" s="5" t="s">
        <v>6589</v>
      </c>
    </row>
    <row r="1599" spans="2:35" ht="22.95" customHeight="1" outlineLevel="4" x14ac:dyDescent="0.2">
      <c r="B1599" s="75" t="s">
        <v>6598</v>
      </c>
      <c r="C1599" s="75"/>
      <c r="D1599" s="75"/>
    </row>
    <row r="1600" spans="2:35" ht="21" customHeight="1" outlineLevel="5" x14ac:dyDescent="0.2">
      <c r="B1600" s="42">
        <v>1237</v>
      </c>
      <c r="C1600" s="5" t="s">
        <v>6599</v>
      </c>
      <c r="D1600" s="5" t="s">
        <v>6600</v>
      </c>
      <c r="E1600" s="6" t="s">
        <v>6601</v>
      </c>
      <c r="F1600" s="10"/>
      <c r="G1600" s="11" t="s">
        <v>6602</v>
      </c>
      <c r="H1600" s="12">
        <v>25</v>
      </c>
      <c r="I1600" s="13" t="s">
        <v>261</v>
      </c>
      <c r="J1600" s="13"/>
      <c r="K1600" s="13"/>
      <c r="L1600" s="4">
        <v>8</v>
      </c>
      <c r="M1600" s="14">
        <f>85.5*(1-P3/100)</f>
        <v>85.5</v>
      </c>
      <c r="N1600" s="15"/>
      <c r="O1600" s="13">
        <f>M1600*N1600</f>
        <v>0</v>
      </c>
      <c r="P1600" s="32">
        <f>0.07*N1600</f>
        <v>0</v>
      </c>
      <c r="Q1600" s="23">
        <f>0.00011*N1600</f>
        <v>0</v>
      </c>
      <c r="R1600" s="24"/>
      <c r="S1600" s="25" t="s">
        <v>6603</v>
      </c>
      <c r="T1600" s="25" t="s">
        <v>43</v>
      </c>
      <c r="U1600" s="5"/>
      <c r="V1600" s="5"/>
      <c r="W1600" s="5" t="s">
        <v>46</v>
      </c>
      <c r="X1600" s="5"/>
      <c r="Y1600" s="5"/>
      <c r="Z1600" s="5" t="str">
        <f>HYPERLINK("https://knigipp.ru/api/getInfo/image/51ffc685-9109-11e9-a226-ac1f6b442184")</f>
        <v>https://knigipp.ru/api/getInfo/image/51ffc685-9109-11e9-a226-ac1f6b442184</v>
      </c>
      <c r="AA1600" s="33">
        <v>16</v>
      </c>
      <c r="AB1600" s="5"/>
      <c r="AC1600" s="5" t="s">
        <v>96</v>
      </c>
      <c r="AD1600" s="5"/>
      <c r="AE1600" s="5" t="s">
        <v>49</v>
      </c>
      <c r="AF1600" s="5"/>
      <c r="AG1600" s="5" t="s">
        <v>6604</v>
      </c>
      <c r="AH1600" s="5" t="s">
        <v>6605</v>
      </c>
    </row>
    <row r="1601" spans="2:34" ht="21" customHeight="1" outlineLevel="5" x14ac:dyDescent="0.2">
      <c r="B1601" s="42">
        <v>1238</v>
      </c>
      <c r="C1601" s="5" t="s">
        <v>6606</v>
      </c>
      <c r="D1601" s="5" t="s">
        <v>6607</v>
      </c>
      <c r="E1601" s="6" t="s">
        <v>6608</v>
      </c>
      <c r="F1601" s="10"/>
      <c r="G1601" s="11" t="s">
        <v>6602</v>
      </c>
      <c r="H1601" s="12">
        <v>25</v>
      </c>
      <c r="I1601" s="13" t="s">
        <v>261</v>
      </c>
      <c r="J1601" s="13"/>
      <c r="K1601" s="13"/>
      <c r="L1601" s="4">
        <v>8</v>
      </c>
      <c r="M1601" s="14">
        <f>85.5*(1-P3/100)</f>
        <v>85.5</v>
      </c>
      <c r="N1601" s="15"/>
      <c r="O1601" s="13">
        <f>M1601*N1601</f>
        <v>0</v>
      </c>
      <c r="P1601" s="32">
        <f>0.07*N1601</f>
        <v>0</v>
      </c>
      <c r="Q1601" s="23">
        <f>0.00011*N1601</f>
        <v>0</v>
      </c>
      <c r="R1601" s="24"/>
      <c r="S1601" s="25" t="s">
        <v>6609</v>
      </c>
      <c r="T1601" s="25" t="s">
        <v>43</v>
      </c>
      <c r="U1601" s="5"/>
      <c r="V1601" s="5"/>
      <c r="W1601" s="5" t="s">
        <v>46</v>
      </c>
      <c r="X1601" s="5"/>
      <c r="Y1601" s="5"/>
      <c r="Z1601" s="5" t="str">
        <f>HYPERLINK("https://knigipp.ru/api/getInfo/image/411f3b03-9109-11e9-a226-ac1f6b442184")</f>
        <v>https://knigipp.ru/api/getInfo/image/411f3b03-9109-11e9-a226-ac1f6b442184</v>
      </c>
      <c r="AA1601" s="33">
        <v>16</v>
      </c>
      <c r="AB1601" s="5"/>
      <c r="AC1601" s="5" t="s">
        <v>96</v>
      </c>
      <c r="AD1601" s="5"/>
      <c r="AE1601" s="5" t="s">
        <v>49</v>
      </c>
      <c r="AF1601" s="5"/>
      <c r="AG1601" s="5" t="s">
        <v>6604</v>
      </c>
      <c r="AH1601" s="5" t="s">
        <v>6605</v>
      </c>
    </row>
    <row r="1602" spans="2:34" ht="22.95" customHeight="1" outlineLevel="4" x14ac:dyDescent="0.2">
      <c r="B1602" s="75" t="s">
        <v>6610</v>
      </c>
      <c r="C1602" s="75"/>
      <c r="D1602" s="75"/>
    </row>
    <row r="1603" spans="2:34" ht="21" customHeight="1" outlineLevel="5" x14ac:dyDescent="0.2">
      <c r="B1603" s="42">
        <v>1239</v>
      </c>
      <c r="C1603" s="5" t="s">
        <v>6611</v>
      </c>
      <c r="D1603" s="5" t="s">
        <v>6612</v>
      </c>
      <c r="E1603" s="6" t="s">
        <v>6613</v>
      </c>
      <c r="F1603" s="10"/>
      <c r="G1603" s="11" t="s">
        <v>6614</v>
      </c>
      <c r="H1603" s="12">
        <v>60</v>
      </c>
      <c r="I1603" s="13" t="s">
        <v>41</v>
      </c>
      <c r="J1603" s="13"/>
      <c r="K1603" s="13"/>
      <c r="L1603" s="4">
        <v>10</v>
      </c>
      <c r="M1603" s="14">
        <f>67.3*(1-P3/100)</f>
        <v>67.3</v>
      </c>
      <c r="N1603" s="15"/>
      <c r="O1603" s="13">
        <f t="shared" ref="O1603:O1610" si="68">M1603*N1603</f>
        <v>0</v>
      </c>
      <c r="P1603" s="22">
        <f>0.051*N1603</f>
        <v>0</v>
      </c>
      <c r="Q1603" s="23">
        <f>0.00031*N1603</f>
        <v>0</v>
      </c>
      <c r="R1603" s="24"/>
      <c r="S1603" s="25" t="s">
        <v>6615</v>
      </c>
      <c r="T1603" s="25" t="s">
        <v>43</v>
      </c>
      <c r="U1603" s="5"/>
      <c r="V1603" s="5" t="s">
        <v>6616</v>
      </c>
      <c r="W1603" s="5" t="s">
        <v>46</v>
      </c>
      <c r="X1603" s="5"/>
      <c r="Y1603" s="5"/>
      <c r="Z1603" s="5" t="str">
        <f>HYPERLINK("https://knigipp.ru/api/getInfo/image/ca3b4573-7a88-11eb-a274-ac1f6b442184")</f>
        <v>https://knigipp.ru/api/getInfo/image/ca3b4573-7a88-11eb-a274-ac1f6b442184</v>
      </c>
      <c r="AA1603" s="33">
        <v>16</v>
      </c>
      <c r="AB1603" s="5"/>
      <c r="AC1603" s="5" t="s">
        <v>96</v>
      </c>
      <c r="AD1603" s="5"/>
      <c r="AE1603" s="5" t="s">
        <v>49</v>
      </c>
      <c r="AF1603" s="5"/>
      <c r="AG1603" s="5"/>
      <c r="AH1603" s="5" t="s">
        <v>6617</v>
      </c>
    </row>
    <row r="1604" spans="2:34" ht="21" customHeight="1" outlineLevel="5" x14ac:dyDescent="0.2">
      <c r="B1604" s="42">
        <v>1240</v>
      </c>
      <c r="C1604" s="5" t="s">
        <v>6618</v>
      </c>
      <c r="D1604" s="5" t="s">
        <v>6619</v>
      </c>
      <c r="E1604" s="6" t="s">
        <v>6620</v>
      </c>
      <c r="F1604" s="10"/>
      <c r="G1604" s="11" t="s">
        <v>6614</v>
      </c>
      <c r="H1604" s="12">
        <v>60</v>
      </c>
      <c r="I1604" s="13" t="s">
        <v>41</v>
      </c>
      <c r="J1604" s="13"/>
      <c r="K1604" s="13"/>
      <c r="L1604" s="4">
        <v>10</v>
      </c>
      <c r="M1604" s="14">
        <f>67.3*(1-P3/100)</f>
        <v>67.3</v>
      </c>
      <c r="N1604" s="15"/>
      <c r="O1604" s="13">
        <f t="shared" si="68"/>
        <v>0</v>
      </c>
      <c r="P1604" s="22">
        <f>0.049*N1604</f>
        <v>0</v>
      </c>
      <c r="Q1604" s="23">
        <f>0.00031*N1604</f>
        <v>0</v>
      </c>
      <c r="R1604" s="24"/>
      <c r="S1604" s="25" t="s">
        <v>6621</v>
      </c>
      <c r="T1604" s="25" t="s">
        <v>43</v>
      </c>
      <c r="U1604" s="5"/>
      <c r="V1604" s="5" t="s">
        <v>6622</v>
      </c>
      <c r="W1604" s="5" t="s">
        <v>46</v>
      </c>
      <c r="X1604" s="5"/>
      <c r="Y1604" s="5"/>
      <c r="Z1604" s="5" t="str">
        <f>HYPERLINK("https://knigipp.ru/api/getInfo/image/9aa07eb8-7a88-11eb-a274-ac1f6b442184")</f>
        <v>https://knigipp.ru/api/getInfo/image/9aa07eb8-7a88-11eb-a274-ac1f6b442184</v>
      </c>
      <c r="AA1604" s="33">
        <v>16</v>
      </c>
      <c r="AB1604" s="5"/>
      <c r="AC1604" s="5" t="s">
        <v>96</v>
      </c>
      <c r="AD1604" s="5"/>
      <c r="AE1604" s="5" t="s">
        <v>49</v>
      </c>
      <c r="AF1604" s="5"/>
      <c r="AG1604" s="5"/>
      <c r="AH1604" s="5" t="s">
        <v>6617</v>
      </c>
    </row>
    <row r="1605" spans="2:34" ht="21" customHeight="1" outlineLevel="5" x14ac:dyDescent="0.2">
      <c r="B1605" s="42">
        <v>1241</v>
      </c>
      <c r="C1605" s="5" t="s">
        <v>6623</v>
      </c>
      <c r="D1605" s="5" t="s">
        <v>6624</v>
      </c>
      <c r="E1605" s="6" t="s">
        <v>6625</v>
      </c>
      <c r="F1605" s="10"/>
      <c r="G1605" s="11" t="s">
        <v>6614</v>
      </c>
      <c r="H1605" s="12">
        <v>60</v>
      </c>
      <c r="I1605" s="13" t="s">
        <v>41</v>
      </c>
      <c r="J1605" s="13"/>
      <c r="K1605" s="13"/>
      <c r="L1605" s="4">
        <v>10</v>
      </c>
      <c r="M1605" s="14">
        <f>67.3*(1-P3/100)</f>
        <v>67.3</v>
      </c>
      <c r="N1605" s="15"/>
      <c r="O1605" s="13">
        <f t="shared" si="68"/>
        <v>0</v>
      </c>
      <c r="P1605" s="22">
        <f>0.045*N1605</f>
        <v>0</v>
      </c>
      <c r="Q1605" s="23">
        <f>0.00035*N1605</f>
        <v>0</v>
      </c>
      <c r="R1605" s="24"/>
      <c r="S1605" s="25" t="s">
        <v>6626</v>
      </c>
      <c r="T1605" s="25" t="s">
        <v>43</v>
      </c>
      <c r="U1605" s="5"/>
      <c r="V1605" s="5" t="s">
        <v>6627</v>
      </c>
      <c r="W1605" s="5" t="s">
        <v>46</v>
      </c>
      <c r="X1605" s="5"/>
      <c r="Y1605" s="5"/>
      <c r="Z1605" s="5" t="str">
        <f>HYPERLINK("https://knigipp.ru/api/getInfo/image/5eb540ef-7a87-11eb-a274-ac1f6b442184")</f>
        <v>https://knigipp.ru/api/getInfo/image/5eb540ef-7a87-11eb-a274-ac1f6b442184</v>
      </c>
      <c r="AA1605" s="33">
        <v>16</v>
      </c>
      <c r="AB1605" s="5"/>
      <c r="AC1605" s="5" t="s">
        <v>96</v>
      </c>
      <c r="AD1605" s="5"/>
      <c r="AE1605" s="5" t="s">
        <v>49</v>
      </c>
      <c r="AF1605" s="5"/>
      <c r="AG1605" s="5"/>
      <c r="AH1605" s="5" t="s">
        <v>6617</v>
      </c>
    </row>
    <row r="1606" spans="2:34" ht="21" customHeight="1" outlineLevel="5" x14ac:dyDescent="0.2">
      <c r="B1606" s="42">
        <v>1242</v>
      </c>
      <c r="C1606" s="5" t="s">
        <v>6628</v>
      </c>
      <c r="D1606" s="5" t="s">
        <v>6629</v>
      </c>
      <c r="E1606" s="6" t="s">
        <v>6630</v>
      </c>
      <c r="F1606" s="10"/>
      <c r="G1606" s="11" t="s">
        <v>6614</v>
      </c>
      <c r="H1606" s="12">
        <v>60</v>
      </c>
      <c r="I1606" s="13" t="s">
        <v>41</v>
      </c>
      <c r="J1606" s="13"/>
      <c r="K1606" s="13"/>
      <c r="L1606" s="4">
        <v>10</v>
      </c>
      <c r="M1606" s="14">
        <f>67.3*(1-P3/100)</f>
        <v>67.3</v>
      </c>
      <c r="N1606" s="15"/>
      <c r="O1606" s="13">
        <f t="shared" si="68"/>
        <v>0</v>
      </c>
      <c r="P1606" s="22">
        <f>0.049*N1606</f>
        <v>0</v>
      </c>
      <c r="Q1606" s="23">
        <f>0.00016*N1606</f>
        <v>0</v>
      </c>
      <c r="R1606" s="24"/>
      <c r="S1606" s="25" t="s">
        <v>6631</v>
      </c>
      <c r="T1606" s="25" t="s">
        <v>43</v>
      </c>
      <c r="U1606" s="5"/>
      <c r="V1606" s="5" t="s">
        <v>6632</v>
      </c>
      <c r="W1606" s="5" t="s">
        <v>46</v>
      </c>
      <c r="X1606" s="5"/>
      <c r="Y1606" s="5"/>
      <c r="Z1606" s="5" t="str">
        <f>HYPERLINK("https://knigipp.ru/api/getInfo/image/83bdaff5-7a87-11eb-a274-ac1f6b442184")</f>
        <v>https://knigipp.ru/api/getInfo/image/83bdaff5-7a87-11eb-a274-ac1f6b442184</v>
      </c>
      <c r="AA1606" s="33">
        <v>16</v>
      </c>
      <c r="AB1606" s="5"/>
      <c r="AC1606" s="5" t="s">
        <v>96</v>
      </c>
      <c r="AD1606" s="5"/>
      <c r="AE1606" s="5" t="s">
        <v>49</v>
      </c>
      <c r="AF1606" s="5"/>
      <c r="AG1606" s="5"/>
      <c r="AH1606" s="5" t="s">
        <v>6617</v>
      </c>
    </row>
    <row r="1607" spans="2:34" ht="21" customHeight="1" outlineLevel="5" x14ac:dyDescent="0.2">
      <c r="B1607" s="42">
        <v>1243</v>
      </c>
      <c r="C1607" s="5" t="s">
        <v>6633</v>
      </c>
      <c r="D1607" s="5" t="s">
        <v>6634</v>
      </c>
      <c r="E1607" s="6" t="s">
        <v>6635</v>
      </c>
      <c r="F1607" s="10"/>
      <c r="G1607" s="11" t="s">
        <v>6614</v>
      </c>
      <c r="H1607" s="12">
        <v>60</v>
      </c>
      <c r="I1607" s="13" t="s">
        <v>41</v>
      </c>
      <c r="J1607" s="13"/>
      <c r="K1607" s="13"/>
      <c r="L1607" s="4">
        <v>10</v>
      </c>
      <c r="M1607" s="14">
        <f>67.3*(1-P3/100)</f>
        <v>67.3</v>
      </c>
      <c r="N1607" s="15"/>
      <c r="O1607" s="13">
        <f t="shared" si="68"/>
        <v>0</v>
      </c>
      <c r="P1607" s="22">
        <f>0.051*N1607</f>
        <v>0</v>
      </c>
      <c r="Q1607" s="23">
        <f>0.00037*N1607</f>
        <v>0</v>
      </c>
      <c r="R1607" s="24"/>
      <c r="S1607" s="25" t="s">
        <v>6636</v>
      </c>
      <c r="T1607" s="25" t="s">
        <v>43</v>
      </c>
      <c r="U1607" s="5"/>
      <c r="V1607" s="5" t="s">
        <v>6637</v>
      </c>
      <c r="W1607" s="5" t="s">
        <v>46</v>
      </c>
      <c r="X1607" s="5"/>
      <c r="Y1607" s="5"/>
      <c r="Z1607" s="5" t="str">
        <f>HYPERLINK("https://knigipp.ru/api/getInfo/image/2099f30f-7a87-11eb-a274-ac1f6b442184")</f>
        <v>https://knigipp.ru/api/getInfo/image/2099f30f-7a87-11eb-a274-ac1f6b442184</v>
      </c>
      <c r="AA1607" s="33">
        <v>16</v>
      </c>
      <c r="AB1607" s="5"/>
      <c r="AC1607" s="5" t="s">
        <v>96</v>
      </c>
      <c r="AD1607" s="5"/>
      <c r="AE1607" s="5" t="s">
        <v>49</v>
      </c>
      <c r="AF1607" s="5"/>
      <c r="AG1607" s="5"/>
      <c r="AH1607" s="5" t="s">
        <v>6617</v>
      </c>
    </row>
    <row r="1608" spans="2:34" ht="21" customHeight="1" outlineLevel="5" x14ac:dyDescent="0.2">
      <c r="B1608" s="42">
        <v>1244</v>
      </c>
      <c r="C1608" s="5" t="s">
        <v>6638</v>
      </c>
      <c r="D1608" s="5" t="s">
        <v>6639</v>
      </c>
      <c r="E1608" s="6" t="s">
        <v>6640</v>
      </c>
      <c r="F1608" s="10"/>
      <c r="G1608" s="11" t="s">
        <v>6614</v>
      </c>
      <c r="H1608" s="12">
        <v>60</v>
      </c>
      <c r="I1608" s="13" t="s">
        <v>41</v>
      </c>
      <c r="J1608" s="13"/>
      <c r="K1608" s="13"/>
      <c r="L1608" s="4">
        <v>10</v>
      </c>
      <c r="M1608" s="14">
        <f>67.3*(1-P3/100)</f>
        <v>67.3</v>
      </c>
      <c r="N1608" s="15"/>
      <c r="O1608" s="13">
        <f t="shared" si="68"/>
        <v>0</v>
      </c>
      <c r="P1608" s="22">
        <f>0.043*N1608</f>
        <v>0</v>
      </c>
      <c r="Q1608" s="23">
        <f>0.00036*N1608</f>
        <v>0</v>
      </c>
      <c r="R1608" s="24"/>
      <c r="S1608" s="25" t="s">
        <v>6641</v>
      </c>
      <c r="T1608" s="25" t="s">
        <v>43</v>
      </c>
      <c r="U1608" s="5"/>
      <c r="V1608" s="5" t="s">
        <v>6642</v>
      </c>
      <c r="W1608" s="5" t="s">
        <v>46</v>
      </c>
      <c r="X1608" s="5"/>
      <c r="Y1608" s="5"/>
      <c r="Z1608" s="5" t="str">
        <f>HYPERLINK("https://knigipp.ru/api/getInfo/image/e6af8000-7a87-11eb-a274-ac1f6b442184")</f>
        <v>https://knigipp.ru/api/getInfo/image/e6af8000-7a87-11eb-a274-ac1f6b442184</v>
      </c>
      <c r="AA1608" s="33">
        <v>16</v>
      </c>
      <c r="AB1608" s="5"/>
      <c r="AC1608" s="5" t="s">
        <v>96</v>
      </c>
      <c r="AD1608" s="5"/>
      <c r="AE1608" s="5" t="s">
        <v>49</v>
      </c>
      <c r="AF1608" s="5"/>
      <c r="AG1608" s="5"/>
      <c r="AH1608" s="5" t="s">
        <v>6617</v>
      </c>
    </row>
    <row r="1609" spans="2:34" ht="21" customHeight="1" outlineLevel="5" x14ac:dyDescent="0.2">
      <c r="B1609" s="42">
        <v>1245</v>
      </c>
      <c r="C1609" s="5" t="s">
        <v>6643</v>
      </c>
      <c r="D1609" s="5" t="s">
        <v>6644</v>
      </c>
      <c r="E1609" s="6" t="s">
        <v>6645</v>
      </c>
      <c r="F1609" s="10"/>
      <c r="G1609" s="11" t="s">
        <v>6614</v>
      </c>
      <c r="H1609" s="12">
        <v>60</v>
      </c>
      <c r="I1609" s="13" t="s">
        <v>41</v>
      </c>
      <c r="J1609" s="13"/>
      <c r="K1609" s="13"/>
      <c r="L1609" s="4">
        <v>10</v>
      </c>
      <c r="M1609" s="14">
        <f>67.3*(1-P3/100)</f>
        <v>67.3</v>
      </c>
      <c r="N1609" s="15"/>
      <c r="O1609" s="13">
        <f t="shared" si="68"/>
        <v>0</v>
      </c>
      <c r="P1609" s="22">
        <f>0.051*N1609</f>
        <v>0</v>
      </c>
      <c r="Q1609" s="23">
        <f>0.00035*N1609</f>
        <v>0</v>
      </c>
      <c r="R1609" s="24"/>
      <c r="S1609" s="25" t="s">
        <v>6646</v>
      </c>
      <c r="T1609" s="25" t="s">
        <v>43</v>
      </c>
      <c r="U1609" s="5"/>
      <c r="V1609" s="5" t="s">
        <v>6647</v>
      </c>
      <c r="W1609" s="5" t="s">
        <v>46</v>
      </c>
      <c r="X1609" s="5"/>
      <c r="Y1609" s="5"/>
      <c r="Z1609" s="5" t="str">
        <f>HYPERLINK("https://knigipp.ru/api/getInfo/image/1a06820d-7a88-11eb-a274-ac1f6b442184")</f>
        <v>https://knigipp.ru/api/getInfo/image/1a06820d-7a88-11eb-a274-ac1f6b442184</v>
      </c>
      <c r="AA1609" s="33">
        <v>16</v>
      </c>
      <c r="AB1609" s="5"/>
      <c r="AC1609" s="5" t="s">
        <v>96</v>
      </c>
      <c r="AD1609" s="5"/>
      <c r="AE1609" s="5" t="s">
        <v>49</v>
      </c>
      <c r="AF1609" s="5"/>
      <c r="AG1609" s="5"/>
      <c r="AH1609" s="5" t="s">
        <v>6617</v>
      </c>
    </row>
    <row r="1610" spans="2:34" ht="21" customHeight="1" outlineLevel="5" x14ac:dyDescent="0.2">
      <c r="B1610" s="42">
        <v>1246</v>
      </c>
      <c r="C1610" s="5" t="s">
        <v>6648</v>
      </c>
      <c r="D1610" s="5" t="s">
        <v>6649</v>
      </c>
      <c r="E1610" s="6" t="s">
        <v>6650</v>
      </c>
      <c r="F1610" s="10"/>
      <c r="G1610" s="11" t="s">
        <v>6614</v>
      </c>
      <c r="H1610" s="12">
        <v>60</v>
      </c>
      <c r="I1610" s="13" t="s">
        <v>41</v>
      </c>
      <c r="J1610" s="13"/>
      <c r="K1610" s="13"/>
      <c r="L1610" s="4">
        <v>10</v>
      </c>
      <c r="M1610" s="14">
        <f>67.3*(1-P3/100)</f>
        <v>67.3</v>
      </c>
      <c r="N1610" s="15"/>
      <c r="O1610" s="13">
        <f t="shared" si="68"/>
        <v>0</v>
      </c>
      <c r="P1610" s="22">
        <f>0.044*N1610</f>
        <v>0</v>
      </c>
      <c r="Q1610" s="23">
        <f>0.00024*N1610</f>
        <v>0</v>
      </c>
      <c r="R1610" s="24"/>
      <c r="S1610" s="25" t="s">
        <v>6651</v>
      </c>
      <c r="T1610" s="25" t="s">
        <v>43</v>
      </c>
      <c r="U1610" s="5"/>
      <c r="V1610" s="5" t="s">
        <v>6652</v>
      </c>
      <c r="W1610" s="5" t="s">
        <v>46</v>
      </c>
      <c r="X1610" s="5"/>
      <c r="Y1610" s="5"/>
      <c r="Z1610" s="5" t="str">
        <f>HYPERLINK("https://knigipp.ru/api/getInfo/image/3e449347-7a88-11eb-a274-ac1f6b442184")</f>
        <v>https://knigipp.ru/api/getInfo/image/3e449347-7a88-11eb-a274-ac1f6b442184</v>
      </c>
      <c r="AA1610" s="33">
        <v>16</v>
      </c>
      <c r="AB1610" s="5"/>
      <c r="AC1610" s="5" t="s">
        <v>96</v>
      </c>
      <c r="AD1610" s="5"/>
      <c r="AE1610" s="5" t="s">
        <v>49</v>
      </c>
      <c r="AF1610" s="5"/>
      <c r="AG1610" s="5"/>
      <c r="AH1610" s="5" t="s">
        <v>6617</v>
      </c>
    </row>
    <row r="1611" spans="2:34" ht="22.95" customHeight="1" outlineLevel="3" x14ac:dyDescent="0.2">
      <c r="B1611" s="74" t="s">
        <v>6653</v>
      </c>
      <c r="C1611" s="74"/>
      <c r="D1611" s="74"/>
    </row>
    <row r="1612" spans="2:34" ht="21" customHeight="1" outlineLevel="4" x14ac:dyDescent="0.2">
      <c r="B1612" s="42">
        <v>1247</v>
      </c>
      <c r="C1612" s="5" t="s">
        <v>6654</v>
      </c>
      <c r="D1612" s="5" t="s">
        <v>6655</v>
      </c>
      <c r="E1612" s="6" t="s">
        <v>6656</v>
      </c>
      <c r="F1612" s="10"/>
      <c r="G1612" s="11" t="s">
        <v>6657</v>
      </c>
      <c r="H1612" s="12">
        <v>30</v>
      </c>
      <c r="I1612" s="13" t="s">
        <v>41</v>
      </c>
      <c r="J1612" s="13"/>
      <c r="K1612" s="13"/>
      <c r="L1612" s="4">
        <v>5</v>
      </c>
      <c r="M1612" s="14">
        <f>127*(1-P3/100)</f>
        <v>127</v>
      </c>
      <c r="N1612" s="15"/>
      <c r="O1612" s="13">
        <f>M1612*N1612</f>
        <v>0</v>
      </c>
      <c r="P1612" s="22">
        <f>0.109*N1612</f>
        <v>0</v>
      </c>
      <c r="Q1612" s="23">
        <f>0.00037*N1612</f>
        <v>0</v>
      </c>
      <c r="R1612" s="24"/>
      <c r="S1612" s="25" t="s">
        <v>6658</v>
      </c>
      <c r="T1612" s="25" t="s">
        <v>43</v>
      </c>
      <c r="U1612" s="5"/>
      <c r="V1612" s="5" t="s">
        <v>6659</v>
      </c>
      <c r="W1612" s="5" t="s">
        <v>46</v>
      </c>
      <c r="X1612" s="5"/>
      <c r="Y1612" s="5"/>
      <c r="Z1612" s="5" t="str">
        <f>HYPERLINK("https://knigipp.ru/api/getInfo/image/123ed394-f5cb-11ef-a274-00155d82e908")</f>
        <v>https://knigipp.ru/api/getInfo/image/123ed394-f5cb-11ef-a274-00155d82e908</v>
      </c>
      <c r="AA1612" s="33">
        <v>48</v>
      </c>
      <c r="AB1612" s="5"/>
      <c r="AC1612" s="5" t="s">
        <v>96</v>
      </c>
      <c r="AD1612" s="5"/>
      <c r="AE1612" s="5" t="s">
        <v>49</v>
      </c>
      <c r="AF1612" s="5"/>
      <c r="AG1612" s="5"/>
      <c r="AH1612" s="5" t="s">
        <v>6660</v>
      </c>
    </row>
    <row r="1613" spans="2:34" ht="21" customHeight="1" outlineLevel="4" x14ac:dyDescent="0.2">
      <c r="B1613" s="42">
        <v>1248</v>
      </c>
      <c r="C1613" s="5" t="s">
        <v>6661</v>
      </c>
      <c r="D1613" s="5" t="s">
        <v>6662</v>
      </c>
      <c r="E1613" s="6" t="s">
        <v>6663</v>
      </c>
      <c r="F1613" s="10"/>
      <c r="G1613" s="11" t="s">
        <v>6657</v>
      </c>
      <c r="H1613" s="12">
        <v>30</v>
      </c>
      <c r="I1613" s="13" t="s">
        <v>371</v>
      </c>
      <c r="J1613" s="13"/>
      <c r="K1613" s="13"/>
      <c r="L1613" s="4">
        <v>5</v>
      </c>
      <c r="M1613" s="14">
        <f>127*(1-P3/100)</f>
        <v>127</v>
      </c>
      <c r="N1613" s="15"/>
      <c r="O1613" s="13">
        <f>M1613*N1613</f>
        <v>0</v>
      </c>
      <c r="P1613" s="22">
        <f>0.108*N1613</f>
        <v>0</v>
      </c>
      <c r="Q1613" s="23">
        <f>0.00045*N1613</f>
        <v>0</v>
      </c>
      <c r="R1613" s="24"/>
      <c r="S1613" s="25" t="s">
        <v>6664</v>
      </c>
      <c r="T1613" s="25" t="s">
        <v>43</v>
      </c>
      <c r="U1613" s="5"/>
      <c r="V1613" s="5" t="s">
        <v>6665</v>
      </c>
      <c r="W1613" s="5" t="s">
        <v>46</v>
      </c>
      <c r="X1613" s="5"/>
      <c r="Y1613" s="5"/>
      <c r="Z1613" s="5" t="str">
        <f>HYPERLINK("https://knigipp.ru/api/getInfo/image/7f67bb3e-f5ca-11ef-a274-00155d82e908")</f>
        <v>https://knigipp.ru/api/getInfo/image/7f67bb3e-f5ca-11ef-a274-00155d82e908</v>
      </c>
      <c r="AA1613" s="33">
        <v>48</v>
      </c>
      <c r="AB1613" s="5"/>
      <c r="AC1613" s="5" t="s">
        <v>96</v>
      </c>
      <c r="AD1613" s="5"/>
      <c r="AE1613" s="5" t="s">
        <v>49</v>
      </c>
      <c r="AF1613" s="5"/>
      <c r="AG1613" s="5"/>
      <c r="AH1613" s="5" t="s">
        <v>6660</v>
      </c>
    </row>
    <row r="1614" spans="2:34" ht="21" customHeight="1" outlineLevel="4" x14ac:dyDescent="0.2">
      <c r="B1614" s="42">
        <v>1249</v>
      </c>
      <c r="C1614" s="5" t="s">
        <v>6666</v>
      </c>
      <c r="D1614" s="5" t="s">
        <v>6667</v>
      </c>
      <c r="E1614" s="6" t="s">
        <v>6668</v>
      </c>
      <c r="F1614" s="10"/>
      <c r="G1614" s="11" t="s">
        <v>6657</v>
      </c>
      <c r="H1614" s="12">
        <v>30</v>
      </c>
      <c r="I1614" s="13" t="s">
        <v>41</v>
      </c>
      <c r="J1614" s="13"/>
      <c r="K1614" s="13"/>
      <c r="L1614" s="4">
        <v>5</v>
      </c>
      <c r="M1614" s="14">
        <f>127*(1-P3/100)</f>
        <v>127</v>
      </c>
      <c r="N1614" s="15"/>
      <c r="O1614" s="13">
        <f>M1614*N1614</f>
        <v>0</v>
      </c>
      <c r="P1614" s="32">
        <f>0.11*N1614</f>
        <v>0</v>
      </c>
      <c r="Q1614" s="23">
        <f>0.00048*N1614</f>
        <v>0</v>
      </c>
      <c r="R1614" s="24"/>
      <c r="S1614" s="25" t="s">
        <v>6669</v>
      </c>
      <c r="T1614" s="25" t="s">
        <v>43</v>
      </c>
      <c r="U1614" s="5"/>
      <c r="V1614" s="5" t="s">
        <v>6670</v>
      </c>
      <c r="W1614" s="5" t="s">
        <v>46</v>
      </c>
      <c r="X1614" s="5"/>
      <c r="Y1614" s="5"/>
      <c r="Z1614" s="5" t="str">
        <f>HYPERLINK("https://knigipp.ru/api/getInfo/image/c1630ee5-f5ca-11ef-a274-00155d82e908")</f>
        <v>https://knigipp.ru/api/getInfo/image/c1630ee5-f5ca-11ef-a274-00155d82e908</v>
      </c>
      <c r="AA1614" s="33">
        <v>48</v>
      </c>
      <c r="AB1614" s="5"/>
      <c r="AC1614" s="5" t="s">
        <v>96</v>
      </c>
      <c r="AD1614" s="5"/>
      <c r="AE1614" s="5" t="s">
        <v>49</v>
      </c>
      <c r="AF1614" s="5"/>
      <c r="AG1614" s="5"/>
      <c r="AH1614" s="5" t="s">
        <v>6660</v>
      </c>
    </row>
    <row r="1615" spans="2:34" ht="21" customHeight="1" outlineLevel="4" x14ac:dyDescent="0.2">
      <c r="B1615" s="42">
        <v>1250</v>
      </c>
      <c r="C1615" s="5" t="s">
        <v>6671</v>
      </c>
      <c r="D1615" s="5" t="s">
        <v>6672</v>
      </c>
      <c r="E1615" s="6" t="s">
        <v>6673</v>
      </c>
      <c r="F1615" s="10"/>
      <c r="G1615" s="11" t="s">
        <v>6657</v>
      </c>
      <c r="H1615" s="12">
        <v>30</v>
      </c>
      <c r="I1615" s="13" t="s">
        <v>41</v>
      </c>
      <c r="J1615" s="13"/>
      <c r="K1615" s="13"/>
      <c r="L1615" s="4">
        <v>5</v>
      </c>
      <c r="M1615" s="14">
        <f>127*(1-P3/100)</f>
        <v>127</v>
      </c>
      <c r="N1615" s="15"/>
      <c r="O1615" s="13">
        <f>M1615*N1615</f>
        <v>0</v>
      </c>
      <c r="P1615" s="32">
        <f>0.11*N1615</f>
        <v>0</v>
      </c>
      <c r="Q1615" s="23">
        <f>0.00036*N1615</f>
        <v>0</v>
      </c>
      <c r="R1615" s="24"/>
      <c r="S1615" s="25" t="s">
        <v>6674</v>
      </c>
      <c r="T1615" s="25" t="s">
        <v>43</v>
      </c>
      <c r="U1615" s="5"/>
      <c r="V1615" s="5" t="s">
        <v>6675</v>
      </c>
      <c r="W1615" s="5" t="s">
        <v>46</v>
      </c>
      <c r="X1615" s="5"/>
      <c r="Y1615" s="5"/>
      <c r="Z1615" s="5" t="str">
        <f>HYPERLINK("https://knigipp.ru/api/getInfo/image/e778a973-f5ca-11ef-a274-00155d82e908")</f>
        <v>https://knigipp.ru/api/getInfo/image/e778a973-f5ca-11ef-a274-00155d82e908</v>
      </c>
      <c r="AA1615" s="33">
        <v>48</v>
      </c>
      <c r="AB1615" s="5"/>
      <c r="AC1615" s="5" t="s">
        <v>96</v>
      </c>
      <c r="AD1615" s="5"/>
      <c r="AE1615" s="5" t="s">
        <v>49</v>
      </c>
      <c r="AF1615" s="5"/>
      <c r="AG1615" s="5"/>
      <c r="AH1615" s="5" t="s">
        <v>6660</v>
      </c>
    </row>
    <row r="1616" spans="2:34" ht="22.95" customHeight="1" outlineLevel="3" x14ac:dyDescent="0.2">
      <c r="B1616" s="74" t="s">
        <v>6676</v>
      </c>
      <c r="C1616" s="74"/>
      <c r="D1616" s="74"/>
    </row>
    <row r="1617" spans="2:35" ht="21" customHeight="1" outlineLevel="4" x14ac:dyDescent="0.2">
      <c r="B1617" s="42">
        <v>1251</v>
      </c>
      <c r="C1617" s="5" t="s">
        <v>6677</v>
      </c>
      <c r="D1617" s="5" t="s">
        <v>6678</v>
      </c>
      <c r="E1617" s="6" t="s">
        <v>6679</v>
      </c>
      <c r="F1617" s="10"/>
      <c r="G1617" s="11" t="s">
        <v>6680</v>
      </c>
      <c r="H1617" s="12">
        <v>50</v>
      </c>
      <c r="I1617" s="13" t="s">
        <v>371</v>
      </c>
      <c r="J1617" s="13"/>
      <c r="K1617" s="13"/>
      <c r="L1617" s="4">
        <v>20</v>
      </c>
      <c r="M1617" s="14">
        <f>29.36*(1-P3/100)</f>
        <v>29.36</v>
      </c>
      <c r="N1617" s="15"/>
      <c r="O1617" s="13">
        <f>M1617*N1617</f>
        <v>0</v>
      </c>
      <c r="P1617" s="32">
        <f>0.04*N1617</f>
        <v>0</v>
      </c>
      <c r="Q1617" s="23">
        <f>0.00021*N1617</f>
        <v>0</v>
      </c>
      <c r="R1617" s="24"/>
      <c r="S1617" s="25" t="s">
        <v>6681</v>
      </c>
      <c r="T1617" s="25" t="s">
        <v>43</v>
      </c>
      <c r="U1617" s="5"/>
      <c r="V1617" s="5"/>
      <c r="W1617" s="5" t="s">
        <v>46</v>
      </c>
      <c r="X1617" s="5"/>
      <c r="Y1617" s="5"/>
      <c r="Z1617" s="5" t="str">
        <f>HYPERLINK("https://knigipp.ru/api/getInfo/image/4a146d94-eb7c-11ea-a254-ac1f6b442184")</f>
        <v>https://knigipp.ru/api/getInfo/image/4a146d94-eb7c-11ea-a254-ac1f6b442184</v>
      </c>
      <c r="AA1617" s="33">
        <v>12</v>
      </c>
      <c r="AB1617" s="5"/>
      <c r="AC1617" s="5" t="s">
        <v>96</v>
      </c>
      <c r="AD1617" s="5"/>
      <c r="AE1617" s="5" t="s">
        <v>49</v>
      </c>
      <c r="AF1617" s="5"/>
      <c r="AG1617" s="5"/>
      <c r="AH1617" s="5" t="s">
        <v>6682</v>
      </c>
    </row>
    <row r="1618" spans="2:35" ht="21" customHeight="1" outlineLevel="4" x14ac:dyDescent="0.2">
      <c r="B1618" s="42">
        <v>1252</v>
      </c>
      <c r="C1618" s="5" t="s">
        <v>6683</v>
      </c>
      <c r="D1618" s="5" t="s">
        <v>6684</v>
      </c>
      <c r="E1618" s="6" t="s">
        <v>6685</v>
      </c>
      <c r="F1618" s="10"/>
      <c r="G1618" s="11" t="s">
        <v>6680</v>
      </c>
      <c r="H1618" s="12">
        <v>50</v>
      </c>
      <c r="I1618" s="13" t="s">
        <v>371</v>
      </c>
      <c r="J1618" s="13"/>
      <c r="K1618" s="13"/>
      <c r="L1618" s="4">
        <v>20</v>
      </c>
      <c r="M1618" s="14">
        <f>29.36*(1-P3/100)</f>
        <v>29.36</v>
      </c>
      <c r="N1618" s="15"/>
      <c r="O1618" s="13">
        <f>M1618*N1618</f>
        <v>0</v>
      </c>
      <c r="P1618" s="22">
        <f>0.028*N1618</f>
        <v>0</v>
      </c>
      <c r="Q1618" s="23">
        <f>0.00012*N1618</f>
        <v>0</v>
      </c>
      <c r="R1618" s="24"/>
      <c r="S1618" s="25" t="s">
        <v>6686</v>
      </c>
      <c r="T1618" s="25" t="s">
        <v>43</v>
      </c>
      <c r="U1618" s="5"/>
      <c r="V1618" s="5"/>
      <c r="W1618" s="5" t="s">
        <v>46</v>
      </c>
      <c r="X1618" s="5"/>
      <c r="Y1618" s="5"/>
      <c r="Z1618" s="5" t="str">
        <f>HYPERLINK("https://knigipp.ru/api/getInfo/image/2a8d4507-eb7c-11ea-a254-ac1f6b442184")</f>
        <v>https://knigipp.ru/api/getInfo/image/2a8d4507-eb7c-11ea-a254-ac1f6b442184</v>
      </c>
      <c r="AA1618" s="33">
        <v>12</v>
      </c>
      <c r="AB1618" s="5"/>
      <c r="AC1618" s="5" t="s">
        <v>96</v>
      </c>
      <c r="AD1618" s="5"/>
      <c r="AE1618" s="5" t="s">
        <v>49</v>
      </c>
      <c r="AF1618" s="5"/>
      <c r="AG1618" s="5"/>
      <c r="AH1618" s="5" t="s">
        <v>6682</v>
      </c>
    </row>
    <row r="1619" spans="2:35" ht="22.95" customHeight="1" outlineLevel="3" x14ac:dyDescent="0.2">
      <c r="B1619" s="74" t="s">
        <v>6687</v>
      </c>
      <c r="C1619" s="74"/>
      <c r="D1619" s="74"/>
    </row>
    <row r="1620" spans="2:35" ht="21" customHeight="1" outlineLevel="4" x14ac:dyDescent="0.2">
      <c r="B1620" s="42">
        <v>1253</v>
      </c>
      <c r="C1620" s="5" t="s">
        <v>6688</v>
      </c>
      <c r="D1620" s="5" t="s">
        <v>6689</v>
      </c>
      <c r="E1620" s="6" t="s">
        <v>6690</v>
      </c>
      <c r="F1620" s="10"/>
      <c r="G1620" s="11" t="s">
        <v>6691</v>
      </c>
      <c r="H1620" s="12">
        <v>50</v>
      </c>
      <c r="I1620" s="13" t="s">
        <v>261</v>
      </c>
      <c r="J1620" s="13"/>
      <c r="K1620" s="13"/>
      <c r="L1620" s="4">
        <v>10</v>
      </c>
      <c r="M1620" s="14">
        <f>64.89*(1-P3/100)</f>
        <v>64.89</v>
      </c>
      <c r="N1620" s="15"/>
      <c r="O1620" s="13">
        <f>M1620*N1620</f>
        <v>0</v>
      </c>
      <c r="P1620" s="22">
        <f>0.064*N1620</f>
        <v>0</v>
      </c>
      <c r="Q1620" s="23">
        <f>0.00008*N1620</f>
        <v>0</v>
      </c>
      <c r="R1620" s="24"/>
      <c r="S1620" s="25" t="s">
        <v>6692</v>
      </c>
      <c r="T1620" s="25" t="s">
        <v>43</v>
      </c>
      <c r="U1620" s="5"/>
      <c r="V1620" s="5"/>
      <c r="W1620" s="5" t="s">
        <v>46</v>
      </c>
      <c r="X1620" s="5"/>
      <c r="Y1620" s="5"/>
      <c r="Z1620" s="5" t="str">
        <f>HYPERLINK("https://knigipp.ru/api/getInfo/image/adf80edc-6a7d-11e9-a224-ac1f6b442184")</f>
        <v>https://knigipp.ru/api/getInfo/image/adf80edc-6a7d-11e9-a224-ac1f6b442184</v>
      </c>
      <c r="AA1620" s="33">
        <v>16</v>
      </c>
      <c r="AB1620" s="5"/>
      <c r="AC1620" s="5" t="s">
        <v>96</v>
      </c>
      <c r="AD1620" s="5"/>
      <c r="AE1620" s="5" t="s">
        <v>49</v>
      </c>
      <c r="AF1620" s="5"/>
      <c r="AG1620" s="5"/>
      <c r="AH1620" s="5" t="s">
        <v>472</v>
      </c>
    </row>
    <row r="1621" spans="2:35" ht="22.95" customHeight="1" outlineLevel="3" x14ac:dyDescent="0.2">
      <c r="B1621" s="74" t="s">
        <v>6693</v>
      </c>
      <c r="C1621" s="74"/>
      <c r="D1621" s="74"/>
    </row>
    <row r="1622" spans="2:35" ht="21" customHeight="1" outlineLevel="4" x14ac:dyDescent="0.2">
      <c r="B1622" s="42">
        <v>1254</v>
      </c>
      <c r="C1622" s="5" t="s">
        <v>6694</v>
      </c>
      <c r="D1622" s="5" t="s">
        <v>6695</v>
      </c>
      <c r="E1622" s="6" t="s">
        <v>6696</v>
      </c>
      <c r="F1622" s="10"/>
      <c r="G1622" s="11" t="s">
        <v>6697</v>
      </c>
      <c r="H1622" s="12">
        <v>50</v>
      </c>
      <c r="I1622" s="13" t="s">
        <v>261</v>
      </c>
      <c r="J1622" s="13"/>
      <c r="K1622" s="13"/>
      <c r="L1622" s="4">
        <v>12</v>
      </c>
      <c r="M1622" s="14">
        <f>48.53*(1-P3/100)</f>
        <v>48.53</v>
      </c>
      <c r="N1622" s="15"/>
      <c r="O1622" s="13">
        <f>M1622*N1622</f>
        <v>0</v>
      </c>
      <c r="P1622" s="13">
        <v>0</v>
      </c>
      <c r="Q1622" s="13">
        <v>0</v>
      </c>
      <c r="R1622" s="24"/>
      <c r="S1622" s="25" t="s">
        <v>6698</v>
      </c>
      <c r="T1622" s="25" t="s">
        <v>43</v>
      </c>
      <c r="U1622" s="5"/>
      <c r="V1622" s="5"/>
      <c r="W1622" s="5" t="s">
        <v>46</v>
      </c>
      <c r="X1622" s="5"/>
      <c r="Y1622" s="5"/>
      <c r="Z1622" s="5" t="str">
        <f>HYPERLINK("https://knigipp.ru/api/getInfo/image/e2c12404-5c12-11ec-a20f-ac1f6b442185")</f>
        <v>https://knigipp.ru/api/getInfo/image/e2c12404-5c12-11ec-a20f-ac1f6b442185</v>
      </c>
      <c r="AA1622" s="33">
        <v>16</v>
      </c>
      <c r="AB1622" s="5"/>
      <c r="AC1622" s="5" t="s">
        <v>96</v>
      </c>
      <c r="AD1622" s="5"/>
      <c r="AE1622" s="5" t="s">
        <v>49</v>
      </c>
      <c r="AF1622" s="5"/>
      <c r="AG1622" s="5"/>
      <c r="AH1622" s="5" t="s">
        <v>6699</v>
      </c>
    </row>
    <row r="1623" spans="2:35" ht="22.95" customHeight="1" outlineLevel="3" x14ac:dyDescent="0.2">
      <c r="B1623" s="74" t="s">
        <v>6700</v>
      </c>
      <c r="C1623" s="74"/>
      <c r="D1623" s="74"/>
    </row>
    <row r="1624" spans="2:35" ht="21" customHeight="1" outlineLevel="4" x14ac:dyDescent="0.2">
      <c r="B1624" s="42">
        <v>1255</v>
      </c>
      <c r="C1624" s="5" t="s">
        <v>6701</v>
      </c>
      <c r="D1624" s="5" t="s">
        <v>6702</v>
      </c>
      <c r="E1624" s="6" t="s">
        <v>6703</v>
      </c>
      <c r="F1624" s="10"/>
      <c r="G1624" s="11" t="s">
        <v>6704</v>
      </c>
      <c r="H1624" s="12">
        <v>30</v>
      </c>
      <c r="I1624" s="13" t="s">
        <v>371</v>
      </c>
      <c r="J1624" s="13"/>
      <c r="K1624" s="13"/>
      <c r="L1624" s="4">
        <v>5</v>
      </c>
      <c r="M1624" s="14">
        <f>127*(1-P3/100)</f>
        <v>127</v>
      </c>
      <c r="N1624" s="15"/>
      <c r="O1624" s="13">
        <f>M1624*N1624</f>
        <v>0</v>
      </c>
      <c r="P1624" s="22">
        <f>0.128*N1624</f>
        <v>0</v>
      </c>
      <c r="Q1624" s="23">
        <f>0.00014*N1624</f>
        <v>0</v>
      </c>
      <c r="R1624" s="24"/>
      <c r="S1624" s="25" t="s">
        <v>6705</v>
      </c>
      <c r="T1624" s="25" t="s">
        <v>43</v>
      </c>
      <c r="U1624" s="5"/>
      <c r="V1624" s="5" t="s">
        <v>6706</v>
      </c>
      <c r="W1624" s="5" t="s">
        <v>46</v>
      </c>
      <c r="X1624" s="5"/>
      <c r="Y1624" s="5"/>
      <c r="Z1624" s="5" t="str">
        <f>HYPERLINK("https://knigipp.ru/api/getInfo/image/efd6a88f-c104-11ee-a25a-00155d82e908")</f>
        <v>https://knigipp.ru/api/getInfo/image/efd6a88f-c104-11ee-a25a-00155d82e908</v>
      </c>
      <c r="AA1624" s="33">
        <v>48</v>
      </c>
      <c r="AB1624" s="5" t="s">
        <v>47</v>
      </c>
      <c r="AC1624" s="5" t="s">
        <v>48</v>
      </c>
      <c r="AD1624" s="5"/>
      <c r="AE1624" s="5" t="s">
        <v>49</v>
      </c>
      <c r="AF1624" s="5"/>
      <c r="AG1624" s="5"/>
      <c r="AH1624" s="5" t="s">
        <v>6707</v>
      </c>
    </row>
    <row r="1625" spans="2:35" ht="21" customHeight="1" outlineLevel="4" x14ac:dyDescent="0.2">
      <c r="B1625" s="42">
        <v>1256</v>
      </c>
      <c r="C1625" s="5" t="s">
        <v>6708</v>
      </c>
      <c r="D1625" s="5" t="s">
        <v>6709</v>
      </c>
      <c r="E1625" s="6" t="s">
        <v>6710</v>
      </c>
      <c r="F1625" s="10"/>
      <c r="G1625" s="11" t="s">
        <v>6704</v>
      </c>
      <c r="H1625" s="12">
        <v>30</v>
      </c>
      <c r="I1625" s="13" t="s">
        <v>41</v>
      </c>
      <c r="J1625" s="13"/>
      <c r="K1625" s="13"/>
      <c r="L1625" s="4">
        <v>5</v>
      </c>
      <c r="M1625" s="14">
        <f>127*(1-P3/100)</f>
        <v>127</v>
      </c>
      <c r="N1625" s="15"/>
      <c r="O1625" s="13">
        <f>M1625*N1625</f>
        <v>0</v>
      </c>
      <c r="P1625" s="32">
        <f>0.12*N1625</f>
        <v>0</v>
      </c>
      <c r="Q1625" s="23">
        <f>0.00014*N1625</f>
        <v>0</v>
      </c>
      <c r="R1625" s="24"/>
      <c r="S1625" s="25" t="s">
        <v>6711</v>
      </c>
      <c r="T1625" s="25" t="s">
        <v>43</v>
      </c>
      <c r="U1625" s="5"/>
      <c r="V1625" s="5" t="s">
        <v>6712</v>
      </c>
      <c r="W1625" s="5" t="s">
        <v>46</v>
      </c>
      <c r="X1625" s="5"/>
      <c r="Y1625" s="5"/>
      <c r="Z1625" s="5" t="str">
        <f>HYPERLINK("https://knigipp.ru/api/getInfo/image/37398f6c-c105-11ee-a25a-00155d82e908")</f>
        <v>https://knigipp.ru/api/getInfo/image/37398f6c-c105-11ee-a25a-00155d82e908</v>
      </c>
      <c r="AA1625" s="33">
        <v>48</v>
      </c>
      <c r="AB1625" s="5" t="s">
        <v>47</v>
      </c>
      <c r="AC1625" s="5" t="s">
        <v>48</v>
      </c>
      <c r="AD1625" s="5"/>
      <c r="AE1625" s="5" t="s">
        <v>49</v>
      </c>
      <c r="AF1625" s="5"/>
      <c r="AG1625" s="5"/>
      <c r="AH1625" s="5" t="s">
        <v>6707</v>
      </c>
    </row>
    <row r="1626" spans="2:35" ht="22.95" customHeight="1" outlineLevel="3" x14ac:dyDescent="0.2">
      <c r="B1626" s="74" t="s">
        <v>6713</v>
      </c>
      <c r="C1626" s="74"/>
      <c r="D1626" s="74"/>
    </row>
    <row r="1627" spans="2:35" ht="21" customHeight="1" outlineLevel="4" x14ac:dyDescent="0.2">
      <c r="B1627" s="42">
        <v>1257</v>
      </c>
      <c r="C1627" s="5" t="s">
        <v>6714</v>
      </c>
      <c r="D1627" s="5" t="s">
        <v>6715</v>
      </c>
      <c r="E1627" s="6" t="s">
        <v>6716</v>
      </c>
      <c r="F1627" s="10"/>
      <c r="G1627" s="11" t="s">
        <v>6717</v>
      </c>
      <c r="H1627" s="12">
        <v>30</v>
      </c>
      <c r="I1627" s="13" t="s">
        <v>41</v>
      </c>
      <c r="J1627" s="13"/>
      <c r="K1627" s="13"/>
      <c r="L1627" s="4">
        <v>8</v>
      </c>
      <c r="M1627" s="14">
        <f>74*(1-P3/100)</f>
        <v>74</v>
      </c>
      <c r="N1627" s="15"/>
      <c r="O1627" s="13">
        <f>M1627*N1627</f>
        <v>0</v>
      </c>
      <c r="P1627" s="22">
        <f>0.086*N1627</f>
        <v>0</v>
      </c>
      <c r="Q1627" s="23">
        <f>0.00016*N1627</f>
        <v>0</v>
      </c>
      <c r="R1627" s="24"/>
      <c r="S1627" s="25" t="s">
        <v>6718</v>
      </c>
      <c r="T1627" s="25" t="s">
        <v>43</v>
      </c>
      <c r="U1627" s="5"/>
      <c r="V1627" s="5"/>
      <c r="W1627" s="5"/>
      <c r="X1627" s="5"/>
      <c r="Y1627" s="5"/>
      <c r="Z1627" s="5" t="str">
        <f>HYPERLINK("https://knigipp.ru/api/getInfo/image/1009ba67-fad2-11ed-a239-00155d82e902")</f>
        <v>https://knigipp.ru/api/getInfo/image/1009ba67-fad2-11ed-a239-00155d82e902</v>
      </c>
      <c r="AA1627" s="33">
        <v>24</v>
      </c>
      <c r="AB1627" s="5" t="s">
        <v>47</v>
      </c>
      <c r="AC1627" s="5" t="s">
        <v>96</v>
      </c>
      <c r="AD1627" s="5"/>
      <c r="AE1627" s="5" t="s">
        <v>49</v>
      </c>
      <c r="AF1627" s="5"/>
      <c r="AG1627" s="5"/>
      <c r="AH1627" s="5" t="s">
        <v>534</v>
      </c>
    </row>
    <row r="1628" spans="2:35" ht="21" customHeight="1" outlineLevel="4" x14ac:dyDescent="0.2">
      <c r="B1628" s="42">
        <v>1258</v>
      </c>
      <c r="C1628" s="5" t="s">
        <v>6719</v>
      </c>
      <c r="D1628" s="5" t="s">
        <v>6720</v>
      </c>
      <c r="E1628" s="6" t="s">
        <v>6721</v>
      </c>
      <c r="F1628" s="10"/>
      <c r="G1628" s="11" t="s">
        <v>6717</v>
      </c>
      <c r="H1628" s="12">
        <v>30</v>
      </c>
      <c r="I1628" s="13" t="s">
        <v>41</v>
      </c>
      <c r="J1628" s="13"/>
      <c r="K1628" s="13"/>
      <c r="L1628" s="4">
        <v>8</v>
      </c>
      <c r="M1628" s="14">
        <f>74*(1-P3/100)</f>
        <v>74</v>
      </c>
      <c r="N1628" s="15"/>
      <c r="O1628" s="13">
        <f>M1628*N1628</f>
        <v>0</v>
      </c>
      <c r="P1628" s="22">
        <f>0.104*N1628</f>
        <v>0</v>
      </c>
      <c r="Q1628" s="23">
        <f>0.00038*N1628</f>
        <v>0</v>
      </c>
      <c r="R1628" s="24"/>
      <c r="S1628" s="25" t="s">
        <v>6722</v>
      </c>
      <c r="T1628" s="25" t="s">
        <v>43</v>
      </c>
      <c r="U1628" s="5"/>
      <c r="V1628" s="5"/>
      <c r="W1628" s="5"/>
      <c r="X1628" s="5"/>
      <c r="Y1628" s="5"/>
      <c r="Z1628" s="5" t="str">
        <f>HYPERLINK("https://knigipp.ru/api/getInfo/image/ed3f6cc6-fad0-11ed-a239-00155d82e902")</f>
        <v>https://knigipp.ru/api/getInfo/image/ed3f6cc6-fad0-11ed-a239-00155d82e902</v>
      </c>
      <c r="AA1628" s="33">
        <v>24</v>
      </c>
      <c r="AB1628" s="5" t="s">
        <v>47</v>
      </c>
      <c r="AC1628" s="5" t="s">
        <v>96</v>
      </c>
      <c r="AD1628" s="5"/>
      <c r="AE1628" s="5" t="s">
        <v>49</v>
      </c>
      <c r="AF1628" s="5"/>
      <c r="AG1628" s="5"/>
      <c r="AH1628" s="5" t="s">
        <v>534</v>
      </c>
    </row>
    <row r="1629" spans="2:35" ht="21" customHeight="1" outlineLevel="4" x14ac:dyDescent="0.2">
      <c r="B1629" s="42">
        <v>1259</v>
      </c>
      <c r="C1629" s="5" t="s">
        <v>6723</v>
      </c>
      <c r="D1629" s="5" t="s">
        <v>6724</v>
      </c>
      <c r="E1629" s="6" t="s">
        <v>6725</v>
      </c>
      <c r="F1629" s="10"/>
      <c r="G1629" s="11" t="s">
        <v>6717</v>
      </c>
      <c r="H1629" s="12">
        <v>30</v>
      </c>
      <c r="I1629" s="13" t="s">
        <v>41</v>
      </c>
      <c r="J1629" s="13"/>
      <c r="K1629" s="13"/>
      <c r="L1629" s="4">
        <v>8</v>
      </c>
      <c r="M1629" s="14">
        <f>74*(1-P3/100)</f>
        <v>74</v>
      </c>
      <c r="N1629" s="15"/>
      <c r="O1629" s="13">
        <f>M1629*N1629</f>
        <v>0</v>
      </c>
      <c r="P1629" s="22">
        <f>0.084*N1629</f>
        <v>0</v>
      </c>
      <c r="Q1629" s="23">
        <f>0.00044*N1629</f>
        <v>0</v>
      </c>
      <c r="R1629" s="24"/>
      <c r="S1629" s="25" t="s">
        <v>6726</v>
      </c>
      <c r="T1629" s="25" t="s">
        <v>43</v>
      </c>
      <c r="U1629" s="5"/>
      <c r="V1629" s="5"/>
      <c r="W1629" s="5"/>
      <c r="X1629" s="5"/>
      <c r="Y1629" s="5"/>
      <c r="Z1629" s="5" t="str">
        <f>HYPERLINK("https://knigipp.ru/api/getInfo/image/69b616b6-fad1-11ed-a239-00155d82e902")</f>
        <v>https://knigipp.ru/api/getInfo/image/69b616b6-fad1-11ed-a239-00155d82e902</v>
      </c>
      <c r="AA1629" s="33">
        <v>24</v>
      </c>
      <c r="AB1629" s="5" t="s">
        <v>47</v>
      </c>
      <c r="AC1629" s="5" t="s">
        <v>96</v>
      </c>
      <c r="AD1629" s="5"/>
      <c r="AE1629" s="5" t="s">
        <v>49</v>
      </c>
      <c r="AF1629" s="5"/>
      <c r="AG1629" s="5"/>
      <c r="AH1629" s="5" t="s">
        <v>534</v>
      </c>
    </row>
    <row r="1630" spans="2:35" ht="21" customHeight="1" outlineLevel="4" x14ac:dyDescent="0.2">
      <c r="B1630" s="42">
        <v>1260</v>
      </c>
      <c r="C1630" s="5" t="s">
        <v>6727</v>
      </c>
      <c r="D1630" s="5" t="s">
        <v>6728</v>
      </c>
      <c r="E1630" s="6" t="s">
        <v>6729</v>
      </c>
      <c r="F1630" s="10"/>
      <c r="G1630" s="11" t="s">
        <v>6717</v>
      </c>
      <c r="H1630" s="12">
        <v>30</v>
      </c>
      <c r="I1630" s="13" t="s">
        <v>41</v>
      </c>
      <c r="J1630" s="13"/>
      <c r="K1630" s="13"/>
      <c r="L1630" s="4">
        <v>8</v>
      </c>
      <c r="M1630" s="14">
        <f>74*(1-P3/100)</f>
        <v>74</v>
      </c>
      <c r="N1630" s="15"/>
      <c r="O1630" s="13">
        <f>M1630*N1630</f>
        <v>0</v>
      </c>
      <c r="P1630" s="22">
        <f>0.086*N1630</f>
        <v>0</v>
      </c>
      <c r="Q1630" s="23">
        <f>0.00016*N1630</f>
        <v>0</v>
      </c>
      <c r="R1630" s="24"/>
      <c r="S1630" s="25" t="s">
        <v>6730</v>
      </c>
      <c r="T1630" s="25" t="s">
        <v>43</v>
      </c>
      <c r="U1630" s="5"/>
      <c r="V1630" s="5"/>
      <c r="W1630" s="5"/>
      <c r="X1630" s="5"/>
      <c r="Y1630" s="5"/>
      <c r="Z1630" s="5" t="str">
        <f>HYPERLINK("https://knigipp.ru/api/getInfo/image/c5c3afd7-fad1-11ed-a239-00155d82e902")</f>
        <v>https://knigipp.ru/api/getInfo/image/c5c3afd7-fad1-11ed-a239-00155d82e902</v>
      </c>
      <c r="AA1630" s="33">
        <v>24</v>
      </c>
      <c r="AB1630" s="5" t="s">
        <v>47</v>
      </c>
      <c r="AC1630" s="5" t="s">
        <v>96</v>
      </c>
      <c r="AD1630" s="5"/>
      <c r="AE1630" s="5" t="s">
        <v>49</v>
      </c>
      <c r="AF1630" s="5"/>
      <c r="AG1630" s="5"/>
      <c r="AH1630" s="5" t="s">
        <v>534</v>
      </c>
    </row>
    <row r="1631" spans="2:35" ht="22.95" customHeight="1" outlineLevel="3" x14ac:dyDescent="0.2">
      <c r="B1631" s="74" t="s">
        <v>6731</v>
      </c>
      <c r="C1631" s="74"/>
      <c r="D1631" s="74"/>
    </row>
    <row r="1632" spans="2:35" ht="21" customHeight="1" outlineLevel="4" x14ac:dyDescent="0.2">
      <c r="B1632" s="43">
        <v>1261</v>
      </c>
      <c r="C1632" s="8" t="s">
        <v>6732</v>
      </c>
      <c r="D1632" s="8" t="s">
        <v>6733</v>
      </c>
      <c r="E1632" s="9" t="s">
        <v>6734</v>
      </c>
      <c r="F1632" s="16"/>
      <c r="G1632" s="17"/>
      <c r="H1632" s="18">
        <v>20</v>
      </c>
      <c r="I1632" s="19" t="s">
        <v>41</v>
      </c>
      <c r="J1632" s="19"/>
      <c r="K1632" s="19"/>
      <c r="L1632" s="7">
        <v>2</v>
      </c>
      <c r="M1632" s="21">
        <f>287*(1-P3/100)</f>
        <v>287</v>
      </c>
      <c r="N1632" s="15"/>
      <c r="O1632" s="19">
        <f>M1632*N1632</f>
        <v>0</v>
      </c>
      <c r="P1632" s="26">
        <f>0.162*N1632</f>
        <v>0</v>
      </c>
      <c r="Q1632" s="27">
        <f>0.00025*N1632</f>
        <v>0</v>
      </c>
      <c r="R1632" s="28" t="s">
        <v>81</v>
      </c>
      <c r="S1632" s="29" t="s">
        <v>6735</v>
      </c>
      <c r="T1632" s="29" t="s">
        <v>43</v>
      </c>
      <c r="U1632" s="8"/>
      <c r="V1632" s="8"/>
      <c r="W1632" s="8" t="s">
        <v>46</v>
      </c>
      <c r="X1632" s="8"/>
      <c r="Y1632" s="8"/>
      <c r="Z1632" s="8" t="str">
        <f>HYPERLINK("https://knigipp.ru/api/getInfo/image/c1f0d659-b65a-11f0-a286-00155d82e908")</f>
        <v>https://knigipp.ru/api/getInfo/image/c1f0d659-b65a-11f0-a286-00155d82e908</v>
      </c>
      <c r="AA1632" s="34">
        <v>96</v>
      </c>
      <c r="AB1632" s="8" t="s">
        <v>2259</v>
      </c>
      <c r="AC1632" s="8" t="s">
        <v>219</v>
      </c>
      <c r="AD1632" s="8"/>
      <c r="AE1632" s="8"/>
      <c r="AF1632" s="8"/>
      <c r="AG1632" s="8"/>
      <c r="AH1632" s="8" t="s">
        <v>6736</v>
      </c>
      <c r="AI1632" s="55"/>
    </row>
    <row r="1633" spans="2:35" ht="21" customHeight="1" outlineLevel="4" x14ac:dyDescent="0.2">
      <c r="B1633" s="43">
        <v>1262</v>
      </c>
      <c r="C1633" s="8" t="s">
        <v>6737</v>
      </c>
      <c r="D1633" s="8" t="s">
        <v>6738</v>
      </c>
      <c r="E1633" s="9" t="s">
        <v>6739</v>
      </c>
      <c r="F1633" s="16"/>
      <c r="G1633" s="17"/>
      <c r="H1633" s="18">
        <v>20</v>
      </c>
      <c r="I1633" s="19" t="s">
        <v>41</v>
      </c>
      <c r="J1633" s="19"/>
      <c r="K1633" s="19"/>
      <c r="L1633" s="7">
        <v>2</v>
      </c>
      <c r="M1633" s="21">
        <f>287*(1-P3/100)</f>
        <v>287</v>
      </c>
      <c r="N1633" s="15"/>
      <c r="O1633" s="19">
        <f>M1633*N1633</f>
        <v>0</v>
      </c>
      <c r="P1633" s="26">
        <f>0.163*N1633</f>
        <v>0</v>
      </c>
      <c r="Q1633" s="27">
        <f>0.00026*N1633</f>
        <v>0</v>
      </c>
      <c r="R1633" s="28" t="s">
        <v>81</v>
      </c>
      <c r="S1633" s="29" t="s">
        <v>6740</v>
      </c>
      <c r="T1633" s="29" t="s">
        <v>43</v>
      </c>
      <c r="U1633" s="8"/>
      <c r="V1633" s="8"/>
      <c r="W1633" s="8" t="s">
        <v>46</v>
      </c>
      <c r="X1633" s="8"/>
      <c r="Y1633" s="8"/>
      <c r="Z1633" s="8" t="str">
        <f>HYPERLINK("https://knigipp.ru/api/getInfo/image/722e2967-b65a-11f0-a286-00155d82e908")</f>
        <v>https://knigipp.ru/api/getInfo/image/722e2967-b65a-11f0-a286-00155d82e908</v>
      </c>
      <c r="AA1633" s="34">
        <v>96</v>
      </c>
      <c r="AB1633" s="8" t="s">
        <v>2259</v>
      </c>
      <c r="AC1633" s="8" t="s">
        <v>219</v>
      </c>
      <c r="AD1633" s="8"/>
      <c r="AE1633" s="8"/>
      <c r="AF1633" s="8"/>
      <c r="AG1633" s="8"/>
      <c r="AH1633" s="8" t="s">
        <v>6736</v>
      </c>
      <c r="AI1633" s="55"/>
    </row>
    <row r="1634" spans="2:35" ht="22.95" customHeight="1" outlineLevel="3" x14ac:dyDescent="0.2">
      <c r="B1634" s="74" t="s">
        <v>6741</v>
      </c>
      <c r="C1634" s="74"/>
      <c r="D1634" s="74"/>
    </row>
    <row r="1635" spans="2:35" ht="21" customHeight="1" outlineLevel="4" x14ac:dyDescent="0.2">
      <c r="B1635" s="42">
        <v>1263</v>
      </c>
      <c r="C1635" s="5" t="s">
        <v>6742</v>
      </c>
      <c r="D1635" s="5" t="s">
        <v>6743</v>
      </c>
      <c r="E1635" s="6" t="s">
        <v>6744</v>
      </c>
      <c r="F1635" s="10"/>
      <c r="G1635" s="11" t="s">
        <v>6745</v>
      </c>
      <c r="H1635" s="12">
        <v>20</v>
      </c>
      <c r="I1635" s="13" t="s">
        <v>41</v>
      </c>
      <c r="J1635" s="13"/>
      <c r="K1635" s="13"/>
      <c r="L1635" s="4">
        <v>2</v>
      </c>
      <c r="M1635" s="14">
        <f>347*(1-P3/100)</f>
        <v>347</v>
      </c>
      <c r="N1635" s="15"/>
      <c r="O1635" s="13">
        <f>M1635*N1635</f>
        <v>0</v>
      </c>
      <c r="P1635" s="22">
        <f>0.155*N1635</f>
        <v>0</v>
      </c>
      <c r="Q1635" s="23">
        <f>0.00023*N1635</f>
        <v>0</v>
      </c>
      <c r="R1635" s="24"/>
      <c r="S1635" s="25" t="s">
        <v>6746</v>
      </c>
      <c r="T1635" s="25" t="s">
        <v>43</v>
      </c>
      <c r="U1635" s="5"/>
      <c r="V1635" s="5"/>
      <c r="W1635" s="5" t="s">
        <v>46</v>
      </c>
      <c r="X1635" s="5"/>
      <c r="Y1635" s="5"/>
      <c r="Z1635" s="5" t="str">
        <f>HYPERLINK("https://knigipp.ru/api/getInfo/image/002f0268-c041-11ee-a25a-00155d82e908")</f>
        <v>https://knigipp.ru/api/getInfo/image/002f0268-c041-11ee-a25a-00155d82e908</v>
      </c>
      <c r="AA1635" s="33">
        <v>48</v>
      </c>
      <c r="AB1635" s="5" t="s">
        <v>47</v>
      </c>
      <c r="AC1635" s="5" t="s">
        <v>48</v>
      </c>
      <c r="AD1635" s="5"/>
      <c r="AE1635" s="5" t="s">
        <v>49</v>
      </c>
      <c r="AF1635" s="5"/>
      <c r="AG1635" s="5"/>
      <c r="AH1635" s="5" t="s">
        <v>6747</v>
      </c>
    </row>
    <row r="1636" spans="2:35" ht="21" customHeight="1" outlineLevel="4" x14ac:dyDescent="0.2">
      <c r="B1636" s="42">
        <v>1264</v>
      </c>
      <c r="C1636" s="5" t="s">
        <v>6748</v>
      </c>
      <c r="D1636" s="5" t="s">
        <v>6749</v>
      </c>
      <c r="E1636" s="6" t="s">
        <v>6750</v>
      </c>
      <c r="F1636" s="10"/>
      <c r="G1636" s="11" t="s">
        <v>6751</v>
      </c>
      <c r="H1636" s="12">
        <v>20</v>
      </c>
      <c r="I1636" s="13" t="s">
        <v>41</v>
      </c>
      <c r="J1636" s="13"/>
      <c r="K1636" s="13"/>
      <c r="L1636" s="4">
        <v>2</v>
      </c>
      <c r="M1636" s="14">
        <f>347*(1-P3/100)</f>
        <v>347</v>
      </c>
      <c r="N1636" s="15"/>
      <c r="O1636" s="13">
        <f>M1636*N1636</f>
        <v>0</v>
      </c>
      <c r="P1636" s="22">
        <f>0.153*N1636</f>
        <v>0</v>
      </c>
      <c r="Q1636" s="23">
        <f>0.00017*N1636</f>
        <v>0</v>
      </c>
      <c r="R1636" s="24"/>
      <c r="S1636" s="25" t="s">
        <v>6752</v>
      </c>
      <c r="T1636" s="25" t="s">
        <v>43</v>
      </c>
      <c r="U1636" s="5"/>
      <c r="V1636" s="5"/>
      <c r="W1636" s="5" t="s">
        <v>46</v>
      </c>
      <c r="X1636" s="5"/>
      <c r="Y1636" s="5"/>
      <c r="Z1636" s="5" t="str">
        <f>HYPERLINK("https://knigipp.ru/api/getInfo/image/23c04676-c041-11ee-a25a-00155d82e908")</f>
        <v>https://knigipp.ru/api/getInfo/image/23c04676-c041-11ee-a25a-00155d82e908</v>
      </c>
      <c r="AA1636" s="33">
        <v>48</v>
      </c>
      <c r="AB1636" s="5" t="s">
        <v>47</v>
      </c>
      <c r="AC1636" s="5" t="s">
        <v>48</v>
      </c>
      <c r="AD1636" s="5"/>
      <c r="AE1636" s="5" t="s">
        <v>49</v>
      </c>
      <c r="AF1636" s="5"/>
      <c r="AG1636" s="5"/>
      <c r="AH1636" s="5" t="s">
        <v>6747</v>
      </c>
    </row>
    <row r="1637" spans="2:35" ht="22.95" customHeight="1" outlineLevel="3" x14ac:dyDescent="0.2">
      <c r="B1637" s="74" t="s">
        <v>6753</v>
      </c>
      <c r="C1637" s="74"/>
      <c r="D1637" s="74"/>
    </row>
    <row r="1638" spans="2:35" ht="21" customHeight="1" outlineLevel="4" x14ac:dyDescent="0.2">
      <c r="B1638" s="42">
        <v>1265</v>
      </c>
      <c r="C1638" s="5" t="s">
        <v>6754</v>
      </c>
      <c r="D1638" s="5" t="s">
        <v>6755</v>
      </c>
      <c r="E1638" s="6" t="s">
        <v>6756</v>
      </c>
      <c r="F1638" s="10"/>
      <c r="G1638" s="11" t="s">
        <v>6757</v>
      </c>
      <c r="H1638" s="12">
        <v>50</v>
      </c>
      <c r="I1638" s="13" t="s">
        <v>41</v>
      </c>
      <c r="J1638" s="13"/>
      <c r="K1638" s="13"/>
      <c r="L1638" s="4">
        <v>10</v>
      </c>
      <c r="M1638" s="14">
        <f>54.9*(1-P3/100)</f>
        <v>54.9</v>
      </c>
      <c r="N1638" s="15"/>
      <c r="O1638" s="13">
        <f t="shared" ref="O1638:O1650" si="69">M1638*N1638</f>
        <v>0</v>
      </c>
      <c r="P1638" s="22">
        <f>0.065*N1638</f>
        <v>0</v>
      </c>
      <c r="Q1638" s="23">
        <f>0.00021*N1638</f>
        <v>0</v>
      </c>
      <c r="R1638" s="24"/>
      <c r="S1638" s="25" t="s">
        <v>6758</v>
      </c>
      <c r="T1638" s="25" t="s">
        <v>43</v>
      </c>
      <c r="U1638" s="5"/>
      <c r="V1638" s="5" t="s">
        <v>6759</v>
      </c>
      <c r="W1638" s="5" t="s">
        <v>46</v>
      </c>
      <c r="X1638" s="5"/>
      <c r="Y1638" s="5"/>
      <c r="Z1638" s="5" t="str">
        <f>HYPERLINK("https://knigipp.ru/api/getInfo/image/49a06c51-c87c-11ed-a230-00155d82e902")</f>
        <v>https://knigipp.ru/api/getInfo/image/49a06c51-c87c-11ed-a230-00155d82e902</v>
      </c>
      <c r="AA1638" s="33">
        <v>16</v>
      </c>
      <c r="AB1638" s="5" t="s">
        <v>47</v>
      </c>
      <c r="AC1638" s="5" t="s">
        <v>96</v>
      </c>
      <c r="AD1638" s="5"/>
      <c r="AE1638" s="5" t="s">
        <v>49</v>
      </c>
      <c r="AF1638" s="5"/>
      <c r="AG1638" s="5" t="s">
        <v>6760</v>
      </c>
      <c r="AH1638" s="5" t="s">
        <v>472</v>
      </c>
    </row>
    <row r="1639" spans="2:35" ht="21" customHeight="1" outlineLevel="4" x14ac:dyDescent="0.2">
      <c r="B1639" s="42">
        <v>1266</v>
      </c>
      <c r="C1639" s="5" t="s">
        <v>6761</v>
      </c>
      <c r="D1639" s="5" t="s">
        <v>6762</v>
      </c>
      <c r="E1639" s="6" t="s">
        <v>6763</v>
      </c>
      <c r="F1639" s="10"/>
      <c r="G1639" s="11" t="s">
        <v>6757</v>
      </c>
      <c r="H1639" s="12">
        <v>50</v>
      </c>
      <c r="I1639" s="13" t="s">
        <v>41</v>
      </c>
      <c r="J1639" s="13"/>
      <c r="K1639" s="13"/>
      <c r="L1639" s="4">
        <v>10</v>
      </c>
      <c r="M1639" s="14">
        <f>54.9*(1-P3/100)</f>
        <v>54.9</v>
      </c>
      <c r="N1639" s="15"/>
      <c r="O1639" s="13">
        <f t="shared" si="69"/>
        <v>0</v>
      </c>
      <c r="P1639" s="22">
        <f>0.065*N1639</f>
        <v>0</v>
      </c>
      <c r="Q1639" s="23">
        <f>0.00028*N1639</f>
        <v>0</v>
      </c>
      <c r="R1639" s="24"/>
      <c r="S1639" s="25" t="s">
        <v>6764</v>
      </c>
      <c r="T1639" s="25" t="s">
        <v>43</v>
      </c>
      <c r="U1639" s="5"/>
      <c r="V1639" s="5" t="s">
        <v>6765</v>
      </c>
      <c r="W1639" s="5" t="s">
        <v>46</v>
      </c>
      <c r="X1639" s="5"/>
      <c r="Y1639" s="5"/>
      <c r="Z1639" s="5" t="str">
        <f>HYPERLINK("https://knigipp.ru/api/getInfo/image/895a78a0-6d0b-11ea-a244-ac1f6b442184")</f>
        <v>https://knigipp.ru/api/getInfo/image/895a78a0-6d0b-11ea-a244-ac1f6b442184</v>
      </c>
      <c r="AA1639" s="33">
        <v>16</v>
      </c>
      <c r="AB1639" s="5"/>
      <c r="AC1639" s="5" t="s">
        <v>96</v>
      </c>
      <c r="AD1639" s="5"/>
      <c r="AE1639" s="5" t="s">
        <v>49</v>
      </c>
      <c r="AF1639" s="5"/>
      <c r="AG1639" s="5" t="s">
        <v>6760</v>
      </c>
      <c r="AH1639" s="5" t="s">
        <v>472</v>
      </c>
    </row>
    <row r="1640" spans="2:35" ht="21" customHeight="1" outlineLevel="4" x14ac:dyDescent="0.2">
      <c r="B1640" s="42">
        <v>1267</v>
      </c>
      <c r="C1640" s="5" t="s">
        <v>6766</v>
      </c>
      <c r="D1640" s="5" t="s">
        <v>6767</v>
      </c>
      <c r="E1640" s="6" t="s">
        <v>6768</v>
      </c>
      <c r="F1640" s="10"/>
      <c r="G1640" s="11" t="s">
        <v>6757</v>
      </c>
      <c r="H1640" s="12">
        <v>50</v>
      </c>
      <c r="I1640" s="13" t="s">
        <v>41</v>
      </c>
      <c r="J1640" s="13"/>
      <c r="K1640" s="13"/>
      <c r="L1640" s="4">
        <v>10</v>
      </c>
      <c r="M1640" s="14">
        <f>54.9*(1-P3/100)</f>
        <v>54.9</v>
      </c>
      <c r="N1640" s="15"/>
      <c r="O1640" s="13">
        <f t="shared" si="69"/>
        <v>0</v>
      </c>
      <c r="P1640" s="13">
        <v>0</v>
      </c>
      <c r="Q1640" s="13">
        <v>0</v>
      </c>
      <c r="R1640" s="24"/>
      <c r="S1640" s="25" t="s">
        <v>6769</v>
      </c>
      <c r="T1640" s="25" t="s">
        <v>43</v>
      </c>
      <c r="U1640" s="5"/>
      <c r="V1640" s="5" t="s">
        <v>6770</v>
      </c>
      <c r="W1640" s="5" t="s">
        <v>46</v>
      </c>
      <c r="X1640" s="5"/>
      <c r="Y1640" s="5"/>
      <c r="Z1640" s="5" t="str">
        <f>HYPERLINK("https://knigipp.ru/api/getInfo/image/93fbe265-c87c-11ed-a230-00155d82e902")</f>
        <v>https://knigipp.ru/api/getInfo/image/93fbe265-c87c-11ed-a230-00155d82e902</v>
      </c>
      <c r="AA1640" s="33">
        <v>16</v>
      </c>
      <c r="AB1640" s="5" t="s">
        <v>47</v>
      </c>
      <c r="AC1640" s="5" t="s">
        <v>96</v>
      </c>
      <c r="AD1640" s="5"/>
      <c r="AE1640" s="5" t="s">
        <v>49</v>
      </c>
      <c r="AF1640" s="5"/>
      <c r="AG1640" s="5" t="s">
        <v>6760</v>
      </c>
      <c r="AH1640" s="5" t="s">
        <v>472</v>
      </c>
    </row>
    <row r="1641" spans="2:35" ht="21" customHeight="1" outlineLevel="4" x14ac:dyDescent="0.2">
      <c r="B1641" s="42">
        <v>1268</v>
      </c>
      <c r="C1641" s="5" t="s">
        <v>6771</v>
      </c>
      <c r="D1641" s="5" t="s">
        <v>6772</v>
      </c>
      <c r="E1641" s="6" t="s">
        <v>6773</v>
      </c>
      <c r="F1641" s="10"/>
      <c r="G1641" s="11" t="s">
        <v>6757</v>
      </c>
      <c r="H1641" s="12">
        <v>50</v>
      </c>
      <c r="I1641" s="13" t="s">
        <v>41</v>
      </c>
      <c r="J1641" s="13"/>
      <c r="K1641" s="13"/>
      <c r="L1641" s="4">
        <v>10</v>
      </c>
      <c r="M1641" s="14">
        <f>54.9*(1-P3/100)</f>
        <v>54.9</v>
      </c>
      <c r="N1641" s="15"/>
      <c r="O1641" s="13">
        <f t="shared" si="69"/>
        <v>0</v>
      </c>
      <c r="P1641" s="22">
        <f>0.066*N1641</f>
        <v>0</v>
      </c>
      <c r="Q1641" s="23">
        <f>0.00029*N1641</f>
        <v>0</v>
      </c>
      <c r="R1641" s="24"/>
      <c r="S1641" s="25" t="s">
        <v>6774</v>
      </c>
      <c r="T1641" s="25" t="s">
        <v>43</v>
      </c>
      <c r="U1641" s="5"/>
      <c r="V1641" s="5"/>
      <c r="W1641" s="5" t="s">
        <v>46</v>
      </c>
      <c r="X1641" s="5"/>
      <c r="Y1641" s="5"/>
      <c r="Z1641" s="5" t="str">
        <f>HYPERLINK("https://knigipp.ru/api/getInfo/image/dd59e878-e677-11e8-a214-ac1f6b442184")</f>
        <v>https://knigipp.ru/api/getInfo/image/dd59e878-e677-11e8-a214-ac1f6b442184</v>
      </c>
      <c r="AA1641" s="33">
        <v>16</v>
      </c>
      <c r="AB1641" s="5"/>
      <c r="AC1641" s="5" t="s">
        <v>96</v>
      </c>
      <c r="AD1641" s="5"/>
      <c r="AE1641" s="5" t="s">
        <v>49</v>
      </c>
      <c r="AF1641" s="5"/>
      <c r="AG1641" s="5" t="s">
        <v>6760</v>
      </c>
      <c r="AH1641" s="5" t="s">
        <v>472</v>
      </c>
    </row>
    <row r="1642" spans="2:35" ht="21" customHeight="1" outlineLevel="4" x14ac:dyDescent="0.2">
      <c r="B1642" s="42">
        <v>1269</v>
      </c>
      <c r="C1642" s="5" t="s">
        <v>6775</v>
      </c>
      <c r="D1642" s="5" t="s">
        <v>6776</v>
      </c>
      <c r="E1642" s="6" t="s">
        <v>6777</v>
      </c>
      <c r="F1642" s="10"/>
      <c r="G1642" s="11" t="s">
        <v>6757</v>
      </c>
      <c r="H1642" s="12">
        <v>50</v>
      </c>
      <c r="I1642" s="13" t="s">
        <v>41</v>
      </c>
      <c r="J1642" s="13"/>
      <c r="K1642" s="13"/>
      <c r="L1642" s="4">
        <v>10</v>
      </c>
      <c r="M1642" s="14">
        <f>54.9*(1-P3/100)</f>
        <v>54.9</v>
      </c>
      <c r="N1642" s="15"/>
      <c r="O1642" s="13">
        <f t="shared" si="69"/>
        <v>0</v>
      </c>
      <c r="P1642" s="32">
        <f>0.06*N1642</f>
        <v>0</v>
      </c>
      <c r="Q1642" s="23">
        <f>0.00021*N1642</f>
        <v>0</v>
      </c>
      <c r="R1642" s="24"/>
      <c r="S1642" s="25" t="s">
        <v>6778</v>
      </c>
      <c r="T1642" s="25" t="s">
        <v>43</v>
      </c>
      <c r="U1642" s="5"/>
      <c r="V1642" s="5" t="s">
        <v>6779</v>
      </c>
      <c r="W1642" s="5" t="s">
        <v>46</v>
      </c>
      <c r="X1642" s="5"/>
      <c r="Y1642" s="5"/>
      <c r="Z1642" s="5" t="str">
        <f>HYPERLINK("https://knigipp.ru/api/getInfo/image/b9e394af-c87c-11ed-a230-00155d82e902")</f>
        <v>https://knigipp.ru/api/getInfo/image/b9e394af-c87c-11ed-a230-00155d82e902</v>
      </c>
      <c r="AA1642" s="33">
        <v>16</v>
      </c>
      <c r="AB1642" s="5" t="s">
        <v>47</v>
      </c>
      <c r="AC1642" s="5" t="s">
        <v>96</v>
      </c>
      <c r="AD1642" s="5"/>
      <c r="AE1642" s="5" t="s">
        <v>49</v>
      </c>
      <c r="AF1642" s="5"/>
      <c r="AG1642" s="5" t="s">
        <v>6760</v>
      </c>
      <c r="AH1642" s="5" t="s">
        <v>472</v>
      </c>
    </row>
    <row r="1643" spans="2:35" ht="21" customHeight="1" outlineLevel="4" x14ac:dyDescent="0.2">
      <c r="B1643" s="42">
        <v>1270</v>
      </c>
      <c r="C1643" s="5" t="s">
        <v>6780</v>
      </c>
      <c r="D1643" s="5" t="s">
        <v>6781</v>
      </c>
      <c r="E1643" s="6" t="s">
        <v>6782</v>
      </c>
      <c r="F1643" s="10"/>
      <c r="G1643" s="11" t="s">
        <v>6757</v>
      </c>
      <c r="H1643" s="12">
        <v>50</v>
      </c>
      <c r="I1643" s="13" t="s">
        <v>41</v>
      </c>
      <c r="J1643" s="13"/>
      <c r="K1643" s="13"/>
      <c r="L1643" s="4">
        <v>10</v>
      </c>
      <c r="M1643" s="14">
        <f>54.9*(1-P3/100)</f>
        <v>54.9</v>
      </c>
      <c r="N1643" s="15"/>
      <c r="O1643" s="13">
        <f t="shared" si="69"/>
        <v>0</v>
      </c>
      <c r="P1643" s="22">
        <f>0.065*N1643</f>
        <v>0</v>
      </c>
      <c r="Q1643" s="23">
        <f>0.00028*N1643</f>
        <v>0</v>
      </c>
      <c r="R1643" s="24"/>
      <c r="S1643" s="25" t="s">
        <v>6783</v>
      </c>
      <c r="T1643" s="25" t="s">
        <v>43</v>
      </c>
      <c r="U1643" s="5"/>
      <c r="V1643" s="5" t="s">
        <v>6784</v>
      </c>
      <c r="W1643" s="5" t="s">
        <v>46</v>
      </c>
      <c r="X1643" s="5"/>
      <c r="Y1643" s="5"/>
      <c r="Z1643" s="5" t="str">
        <f>HYPERLINK("https://knigipp.ru/api/getInfo/image/a59707e0-6d0b-11ea-a244-ac1f6b442184")</f>
        <v>https://knigipp.ru/api/getInfo/image/a59707e0-6d0b-11ea-a244-ac1f6b442184</v>
      </c>
      <c r="AA1643" s="33">
        <v>16</v>
      </c>
      <c r="AB1643" s="5"/>
      <c r="AC1643" s="5" t="s">
        <v>96</v>
      </c>
      <c r="AD1643" s="5"/>
      <c r="AE1643" s="5" t="s">
        <v>49</v>
      </c>
      <c r="AF1643" s="5"/>
      <c r="AG1643" s="5" t="s">
        <v>6760</v>
      </c>
      <c r="AH1643" s="5" t="s">
        <v>472</v>
      </c>
    </row>
    <row r="1644" spans="2:35" ht="21" customHeight="1" outlineLevel="4" x14ac:dyDescent="0.2">
      <c r="B1644" s="42">
        <v>1271</v>
      </c>
      <c r="C1644" s="5" t="s">
        <v>6785</v>
      </c>
      <c r="D1644" s="5" t="s">
        <v>6786</v>
      </c>
      <c r="E1644" s="6" t="s">
        <v>6787</v>
      </c>
      <c r="F1644" s="10"/>
      <c r="G1644" s="11" t="s">
        <v>6757</v>
      </c>
      <c r="H1644" s="12">
        <v>50</v>
      </c>
      <c r="I1644" s="13" t="s">
        <v>41</v>
      </c>
      <c r="J1644" s="13"/>
      <c r="K1644" s="13"/>
      <c r="L1644" s="4">
        <v>10</v>
      </c>
      <c r="M1644" s="14">
        <f>54.9*(1-P3/100)</f>
        <v>54.9</v>
      </c>
      <c r="N1644" s="15"/>
      <c r="O1644" s="13">
        <f t="shared" si="69"/>
        <v>0</v>
      </c>
      <c r="P1644" s="32">
        <f>0.06*N1644</f>
        <v>0</v>
      </c>
      <c r="Q1644" s="23">
        <f>0.00021*N1644</f>
        <v>0</v>
      </c>
      <c r="R1644" s="24"/>
      <c r="S1644" s="25" t="s">
        <v>6788</v>
      </c>
      <c r="T1644" s="25" t="s">
        <v>43</v>
      </c>
      <c r="U1644" s="5"/>
      <c r="V1644" s="5" t="s">
        <v>6789</v>
      </c>
      <c r="W1644" s="5" t="s">
        <v>46</v>
      </c>
      <c r="X1644" s="5"/>
      <c r="Y1644" s="5"/>
      <c r="Z1644" s="5" t="str">
        <f>HYPERLINK("https://knigipp.ru/api/getInfo/image/baf485ab-6d0b-11ea-a244-ac1f6b442184")</f>
        <v>https://knigipp.ru/api/getInfo/image/baf485ab-6d0b-11ea-a244-ac1f6b442184</v>
      </c>
      <c r="AA1644" s="33">
        <v>16</v>
      </c>
      <c r="AB1644" s="5"/>
      <c r="AC1644" s="5" t="s">
        <v>96</v>
      </c>
      <c r="AD1644" s="5"/>
      <c r="AE1644" s="5" t="s">
        <v>49</v>
      </c>
      <c r="AF1644" s="5"/>
      <c r="AG1644" s="5" t="s">
        <v>6760</v>
      </c>
      <c r="AH1644" s="5" t="s">
        <v>472</v>
      </c>
    </row>
    <row r="1645" spans="2:35" ht="21" customHeight="1" outlineLevel="4" x14ac:dyDescent="0.2">
      <c r="B1645" s="42">
        <v>1272</v>
      </c>
      <c r="C1645" s="5" t="s">
        <v>6790</v>
      </c>
      <c r="D1645" s="5" t="s">
        <v>6791</v>
      </c>
      <c r="E1645" s="6" t="s">
        <v>6792</v>
      </c>
      <c r="F1645" s="10"/>
      <c r="G1645" s="11" t="s">
        <v>6757</v>
      </c>
      <c r="H1645" s="12">
        <v>50</v>
      </c>
      <c r="I1645" s="13" t="s">
        <v>371</v>
      </c>
      <c r="J1645" s="13"/>
      <c r="K1645" s="13"/>
      <c r="L1645" s="4">
        <v>10</v>
      </c>
      <c r="M1645" s="14">
        <f>54.9*(1-P3/100)</f>
        <v>54.9</v>
      </c>
      <c r="N1645" s="15"/>
      <c r="O1645" s="13">
        <f t="shared" si="69"/>
        <v>0</v>
      </c>
      <c r="P1645" s="22">
        <f>0.061*N1645</f>
        <v>0</v>
      </c>
      <c r="Q1645" s="23">
        <f>0.00028*N1645</f>
        <v>0</v>
      </c>
      <c r="R1645" s="24"/>
      <c r="S1645" s="25" t="s">
        <v>6793</v>
      </c>
      <c r="T1645" s="25" t="s">
        <v>43</v>
      </c>
      <c r="U1645" s="5"/>
      <c r="V1645" s="5" t="s">
        <v>6794</v>
      </c>
      <c r="W1645" s="5" t="s">
        <v>46</v>
      </c>
      <c r="X1645" s="5"/>
      <c r="Y1645" s="5"/>
      <c r="Z1645" s="5" t="str">
        <f>HYPERLINK("https://knigipp.ru/api/getInfo/image/291f3b3b-257a-11ea-a239-ac1f6b442184")</f>
        <v>https://knigipp.ru/api/getInfo/image/291f3b3b-257a-11ea-a239-ac1f6b442184</v>
      </c>
      <c r="AA1645" s="33">
        <v>16</v>
      </c>
      <c r="AB1645" s="5"/>
      <c r="AC1645" s="5" t="s">
        <v>96</v>
      </c>
      <c r="AD1645" s="5"/>
      <c r="AE1645" s="5" t="s">
        <v>49</v>
      </c>
      <c r="AF1645" s="5"/>
      <c r="AG1645" s="5" t="s">
        <v>6760</v>
      </c>
      <c r="AH1645" s="5" t="s">
        <v>472</v>
      </c>
    </row>
    <row r="1646" spans="2:35" ht="21" customHeight="1" outlineLevel="4" x14ac:dyDescent="0.2">
      <c r="B1646" s="42">
        <v>1273</v>
      </c>
      <c r="C1646" s="5" t="s">
        <v>6795</v>
      </c>
      <c r="D1646" s="5" t="s">
        <v>6796</v>
      </c>
      <c r="E1646" s="6" t="s">
        <v>6797</v>
      </c>
      <c r="F1646" s="10"/>
      <c r="G1646" s="11" t="s">
        <v>6757</v>
      </c>
      <c r="H1646" s="12">
        <v>50</v>
      </c>
      <c r="I1646" s="13" t="s">
        <v>41</v>
      </c>
      <c r="J1646" s="13"/>
      <c r="K1646" s="13"/>
      <c r="L1646" s="4">
        <v>10</v>
      </c>
      <c r="M1646" s="14">
        <f>54.9*(1-P3/100)</f>
        <v>54.9</v>
      </c>
      <c r="N1646" s="15"/>
      <c r="O1646" s="13">
        <f t="shared" si="69"/>
        <v>0</v>
      </c>
      <c r="P1646" s="22">
        <f>0.056*N1646</f>
        <v>0</v>
      </c>
      <c r="Q1646" s="23">
        <f>0.00011*N1646</f>
        <v>0</v>
      </c>
      <c r="R1646" s="24"/>
      <c r="S1646" s="25" t="s">
        <v>6798</v>
      </c>
      <c r="T1646" s="25" t="s">
        <v>43</v>
      </c>
      <c r="U1646" s="5"/>
      <c r="V1646" s="5" t="s">
        <v>6799</v>
      </c>
      <c r="W1646" s="5" t="s">
        <v>46</v>
      </c>
      <c r="X1646" s="5"/>
      <c r="Y1646" s="5"/>
      <c r="Z1646" s="5" t="str">
        <f>HYPERLINK("https://knigipp.ru/api/getInfo/image/0e8690ab-e678-11e8-a214-ac1f6b442184")</f>
        <v>https://knigipp.ru/api/getInfo/image/0e8690ab-e678-11e8-a214-ac1f6b442184</v>
      </c>
      <c r="AA1646" s="33">
        <v>16</v>
      </c>
      <c r="AB1646" s="5"/>
      <c r="AC1646" s="5" t="s">
        <v>96</v>
      </c>
      <c r="AD1646" s="5"/>
      <c r="AE1646" s="5" t="s">
        <v>49</v>
      </c>
      <c r="AF1646" s="5"/>
      <c r="AG1646" s="5" t="s">
        <v>6760</v>
      </c>
      <c r="AH1646" s="5" t="s">
        <v>472</v>
      </c>
    </row>
    <row r="1647" spans="2:35" ht="21" customHeight="1" outlineLevel="4" x14ac:dyDescent="0.2">
      <c r="B1647" s="42">
        <v>1274</v>
      </c>
      <c r="C1647" s="5" t="s">
        <v>6800</v>
      </c>
      <c r="D1647" s="5" t="s">
        <v>6801</v>
      </c>
      <c r="E1647" s="6" t="s">
        <v>6802</v>
      </c>
      <c r="F1647" s="10"/>
      <c r="G1647" s="11" t="s">
        <v>6757</v>
      </c>
      <c r="H1647" s="12">
        <v>50</v>
      </c>
      <c r="I1647" s="13" t="s">
        <v>371</v>
      </c>
      <c r="J1647" s="13"/>
      <c r="K1647" s="13"/>
      <c r="L1647" s="4">
        <v>10</v>
      </c>
      <c r="M1647" s="14">
        <f>54.9*(1-P3/100)</f>
        <v>54.9</v>
      </c>
      <c r="N1647" s="15"/>
      <c r="O1647" s="13">
        <f t="shared" si="69"/>
        <v>0</v>
      </c>
      <c r="P1647" s="22">
        <f>0.064*N1647</f>
        <v>0</v>
      </c>
      <c r="Q1647" s="23">
        <f>0.00028*N1647</f>
        <v>0</v>
      </c>
      <c r="R1647" s="24"/>
      <c r="S1647" s="25" t="s">
        <v>6803</v>
      </c>
      <c r="T1647" s="25" t="s">
        <v>43</v>
      </c>
      <c r="U1647" s="5"/>
      <c r="V1647" s="5" t="s">
        <v>6804</v>
      </c>
      <c r="W1647" s="5" t="s">
        <v>46</v>
      </c>
      <c r="X1647" s="5"/>
      <c r="Y1647" s="5"/>
      <c r="Z1647" s="5" t="str">
        <f>HYPERLINK("https://knigipp.ru/api/getInfo/image/fbbf788d-2579-11ea-a239-ac1f6b442184")</f>
        <v>https://knigipp.ru/api/getInfo/image/fbbf788d-2579-11ea-a239-ac1f6b442184</v>
      </c>
      <c r="AA1647" s="33">
        <v>16</v>
      </c>
      <c r="AB1647" s="5"/>
      <c r="AC1647" s="5" t="s">
        <v>96</v>
      </c>
      <c r="AD1647" s="5"/>
      <c r="AE1647" s="5" t="s">
        <v>49</v>
      </c>
      <c r="AF1647" s="5"/>
      <c r="AG1647" s="5" t="s">
        <v>6760</v>
      </c>
      <c r="AH1647" s="5" t="s">
        <v>472</v>
      </c>
    </row>
    <row r="1648" spans="2:35" ht="21" customHeight="1" outlineLevel="4" x14ac:dyDescent="0.2">
      <c r="B1648" s="42">
        <v>1275</v>
      </c>
      <c r="C1648" s="5" t="s">
        <v>6805</v>
      </c>
      <c r="D1648" s="5" t="s">
        <v>6806</v>
      </c>
      <c r="E1648" s="6" t="s">
        <v>6807</v>
      </c>
      <c r="F1648" s="10"/>
      <c r="G1648" s="11" t="s">
        <v>6757</v>
      </c>
      <c r="H1648" s="12">
        <v>50</v>
      </c>
      <c r="I1648" s="13" t="s">
        <v>41</v>
      </c>
      <c r="J1648" s="13"/>
      <c r="K1648" s="13"/>
      <c r="L1648" s="4">
        <v>10</v>
      </c>
      <c r="M1648" s="14">
        <f>54.9*(1-P3/100)</f>
        <v>54.9</v>
      </c>
      <c r="N1648" s="15"/>
      <c r="O1648" s="13">
        <f t="shared" si="69"/>
        <v>0</v>
      </c>
      <c r="P1648" s="22">
        <f>0.065*N1648</f>
        <v>0</v>
      </c>
      <c r="Q1648" s="23">
        <f>0.00021*N1648</f>
        <v>0</v>
      </c>
      <c r="R1648" s="24"/>
      <c r="S1648" s="25" t="s">
        <v>6808</v>
      </c>
      <c r="T1648" s="25" t="s">
        <v>43</v>
      </c>
      <c r="U1648" s="5"/>
      <c r="V1648" s="5" t="s">
        <v>6809</v>
      </c>
      <c r="W1648" s="5" t="s">
        <v>46</v>
      </c>
      <c r="X1648" s="5"/>
      <c r="Y1648" s="5"/>
      <c r="Z1648" s="5" t="str">
        <f>HYPERLINK("https://knigipp.ru/api/getInfo/image/f0476bf3-6d0b-11ea-a244-ac1f6b442184")</f>
        <v>https://knigipp.ru/api/getInfo/image/f0476bf3-6d0b-11ea-a244-ac1f6b442184</v>
      </c>
      <c r="AA1648" s="33">
        <v>16</v>
      </c>
      <c r="AB1648" s="5"/>
      <c r="AC1648" s="5" t="s">
        <v>96</v>
      </c>
      <c r="AD1648" s="5"/>
      <c r="AE1648" s="5" t="s">
        <v>49</v>
      </c>
      <c r="AF1648" s="5"/>
      <c r="AG1648" s="5" t="s">
        <v>6760</v>
      </c>
      <c r="AH1648" s="5" t="s">
        <v>472</v>
      </c>
    </row>
    <row r="1649" spans="2:34" ht="21" customHeight="1" outlineLevel="4" x14ac:dyDescent="0.2">
      <c r="B1649" s="42">
        <v>1276</v>
      </c>
      <c r="C1649" s="5" t="s">
        <v>6810</v>
      </c>
      <c r="D1649" s="5" t="s">
        <v>6811</v>
      </c>
      <c r="E1649" s="6" t="s">
        <v>6812</v>
      </c>
      <c r="F1649" s="10"/>
      <c r="G1649" s="11" t="s">
        <v>6757</v>
      </c>
      <c r="H1649" s="12">
        <v>50</v>
      </c>
      <c r="I1649" s="13" t="s">
        <v>41</v>
      </c>
      <c r="J1649" s="13"/>
      <c r="K1649" s="13"/>
      <c r="L1649" s="4">
        <v>10</v>
      </c>
      <c r="M1649" s="14">
        <f>54.9*(1-P3/100)</f>
        <v>54.9</v>
      </c>
      <c r="N1649" s="15"/>
      <c r="O1649" s="13">
        <f t="shared" si="69"/>
        <v>0</v>
      </c>
      <c r="P1649" s="22">
        <f>0.065*N1649</f>
        <v>0</v>
      </c>
      <c r="Q1649" s="23">
        <f>0.00028*N1649</f>
        <v>0</v>
      </c>
      <c r="R1649" s="24"/>
      <c r="S1649" s="25" t="s">
        <v>6813</v>
      </c>
      <c r="T1649" s="25" t="s">
        <v>43</v>
      </c>
      <c r="U1649" s="5"/>
      <c r="V1649" s="5" t="s">
        <v>6814</v>
      </c>
      <c r="W1649" s="5" t="s">
        <v>46</v>
      </c>
      <c r="X1649" s="5"/>
      <c r="Y1649" s="5"/>
      <c r="Z1649" s="5" t="str">
        <f>HYPERLINK("https://knigipp.ru/api/getInfo/image/d2e532c3-3c54-11ea-a240-ac1f6b442184")</f>
        <v>https://knigipp.ru/api/getInfo/image/d2e532c3-3c54-11ea-a240-ac1f6b442184</v>
      </c>
      <c r="AA1649" s="33">
        <v>16</v>
      </c>
      <c r="AB1649" s="5"/>
      <c r="AC1649" s="5" t="s">
        <v>96</v>
      </c>
      <c r="AD1649" s="5"/>
      <c r="AE1649" s="5" t="s">
        <v>49</v>
      </c>
      <c r="AF1649" s="5"/>
      <c r="AG1649" s="5" t="s">
        <v>6760</v>
      </c>
      <c r="AH1649" s="5" t="s">
        <v>472</v>
      </c>
    </row>
    <row r="1650" spans="2:34" ht="21" customHeight="1" outlineLevel="4" x14ac:dyDescent="0.2">
      <c r="B1650" s="42">
        <v>1277</v>
      </c>
      <c r="C1650" s="5" t="s">
        <v>6815</v>
      </c>
      <c r="D1650" s="5" t="s">
        <v>6816</v>
      </c>
      <c r="E1650" s="6" t="s">
        <v>6817</v>
      </c>
      <c r="F1650" s="10"/>
      <c r="G1650" s="11" t="s">
        <v>6757</v>
      </c>
      <c r="H1650" s="12">
        <v>50</v>
      </c>
      <c r="I1650" s="13" t="s">
        <v>371</v>
      </c>
      <c r="J1650" s="13"/>
      <c r="K1650" s="13"/>
      <c r="L1650" s="4">
        <v>10</v>
      </c>
      <c r="M1650" s="14">
        <f>54.9*(1-P3/100)</f>
        <v>54.9</v>
      </c>
      <c r="N1650" s="15"/>
      <c r="O1650" s="13">
        <f t="shared" si="69"/>
        <v>0</v>
      </c>
      <c r="P1650" s="22">
        <f>0.064*N1650</f>
        <v>0</v>
      </c>
      <c r="Q1650" s="23">
        <f>0.00028*N1650</f>
        <v>0</v>
      </c>
      <c r="R1650" s="24"/>
      <c r="S1650" s="25" t="s">
        <v>6818</v>
      </c>
      <c r="T1650" s="25" t="s">
        <v>43</v>
      </c>
      <c r="U1650" s="5"/>
      <c r="V1650" s="5"/>
      <c r="W1650" s="5" t="s">
        <v>46</v>
      </c>
      <c r="X1650" s="5"/>
      <c r="Y1650" s="5"/>
      <c r="Z1650" s="5" t="str">
        <f>HYPERLINK("https://knigipp.ru/api/getInfo/image/1cb399b0-cd89-11e9-a234-ac1f6b442184")</f>
        <v>https://knigipp.ru/api/getInfo/image/1cb399b0-cd89-11e9-a234-ac1f6b442184</v>
      </c>
      <c r="AA1650" s="33">
        <v>16</v>
      </c>
      <c r="AB1650" s="5"/>
      <c r="AC1650" s="5" t="s">
        <v>96</v>
      </c>
      <c r="AD1650" s="5"/>
      <c r="AE1650" s="5" t="s">
        <v>49</v>
      </c>
      <c r="AF1650" s="5"/>
      <c r="AG1650" s="5" t="s">
        <v>6760</v>
      </c>
      <c r="AH1650" s="5" t="s">
        <v>472</v>
      </c>
    </row>
    <row r="1651" spans="2:34" ht="22.95" customHeight="1" outlineLevel="3" x14ac:dyDescent="0.2">
      <c r="B1651" s="74" t="s">
        <v>6819</v>
      </c>
      <c r="C1651" s="74"/>
      <c r="D1651" s="74"/>
    </row>
    <row r="1652" spans="2:34" ht="21" customHeight="1" outlineLevel="4" x14ac:dyDescent="0.2">
      <c r="B1652" s="42">
        <v>1278</v>
      </c>
      <c r="C1652" s="5" t="s">
        <v>6820</v>
      </c>
      <c r="D1652" s="5" t="s">
        <v>6821</v>
      </c>
      <c r="E1652" s="6" t="s">
        <v>6822</v>
      </c>
      <c r="F1652" s="10"/>
      <c r="G1652" s="11" t="s">
        <v>6823</v>
      </c>
      <c r="H1652" s="12">
        <v>15</v>
      </c>
      <c r="I1652" s="13" t="s">
        <v>371</v>
      </c>
      <c r="J1652" s="13"/>
      <c r="K1652" s="13"/>
      <c r="L1652" s="4">
        <v>4</v>
      </c>
      <c r="M1652" s="14">
        <f>149*(1-P3/100)</f>
        <v>149</v>
      </c>
      <c r="N1652" s="15"/>
      <c r="O1652" s="13">
        <f>M1652*N1652</f>
        <v>0</v>
      </c>
      <c r="P1652" s="22">
        <f>0.101*N1652</f>
        <v>0</v>
      </c>
      <c r="Q1652" s="23">
        <f>0.00115*N1652</f>
        <v>0</v>
      </c>
      <c r="R1652" s="24"/>
      <c r="S1652" s="25" t="s">
        <v>6824</v>
      </c>
      <c r="T1652" s="25" t="s">
        <v>43</v>
      </c>
      <c r="U1652" s="5"/>
      <c r="V1652" s="5"/>
      <c r="W1652" s="5" t="s">
        <v>46</v>
      </c>
      <c r="X1652" s="5" t="s">
        <v>6825</v>
      </c>
      <c r="Y1652" s="5"/>
      <c r="Z1652" s="5" t="str">
        <f>HYPERLINK("https://knigipp.ru/api/getInfo/image/dd331965-e61f-11e7-b2c3-5cf3fc4a2490")</f>
        <v>https://knigipp.ru/api/getInfo/image/dd331965-e61f-11e7-b2c3-5cf3fc4a2490</v>
      </c>
      <c r="AA1652" s="5"/>
      <c r="AB1652" s="5"/>
      <c r="AC1652" s="5"/>
      <c r="AD1652" s="5"/>
      <c r="AE1652" s="5" t="s">
        <v>49</v>
      </c>
      <c r="AF1652" s="5"/>
      <c r="AG1652" s="5" t="s">
        <v>6826</v>
      </c>
      <c r="AH1652" s="5" t="s">
        <v>6827</v>
      </c>
    </row>
    <row r="1653" spans="2:34" ht="22.95" customHeight="1" outlineLevel="3" x14ac:dyDescent="0.2">
      <c r="B1653" s="74" t="s">
        <v>6828</v>
      </c>
      <c r="C1653" s="74"/>
      <c r="D1653" s="74"/>
    </row>
    <row r="1654" spans="2:34" ht="21" customHeight="1" outlineLevel="4" x14ac:dyDescent="0.2">
      <c r="B1654" s="42">
        <v>1279</v>
      </c>
      <c r="C1654" s="5" t="s">
        <v>6829</v>
      </c>
      <c r="D1654" s="5" t="s">
        <v>6830</v>
      </c>
      <c r="E1654" s="6" t="s">
        <v>6831</v>
      </c>
      <c r="F1654" s="10"/>
      <c r="G1654" s="11" t="s">
        <v>6832</v>
      </c>
      <c r="H1654" s="12">
        <v>50</v>
      </c>
      <c r="I1654" s="13" t="s">
        <v>41</v>
      </c>
      <c r="J1654" s="13"/>
      <c r="K1654" s="13"/>
      <c r="L1654" s="4">
        <v>8</v>
      </c>
      <c r="M1654" s="14">
        <f>77*(1-P3/100)</f>
        <v>77</v>
      </c>
      <c r="N1654" s="15"/>
      <c r="O1654" s="13">
        <f t="shared" ref="O1654:O1660" si="70">M1654*N1654</f>
        <v>0</v>
      </c>
      <c r="P1654" s="22">
        <f>0.059*N1654</f>
        <v>0</v>
      </c>
      <c r="Q1654" s="23">
        <f>0.00011*N1654</f>
        <v>0</v>
      </c>
      <c r="R1654" s="24"/>
      <c r="S1654" s="25" t="s">
        <v>6833</v>
      </c>
      <c r="T1654" s="25" t="s">
        <v>43</v>
      </c>
      <c r="U1654" s="5"/>
      <c r="V1654" s="5" t="s">
        <v>6834</v>
      </c>
      <c r="W1654" s="5" t="s">
        <v>46</v>
      </c>
      <c r="X1654" s="5"/>
      <c r="Y1654" s="5"/>
      <c r="Z1654" s="5" t="str">
        <f>HYPERLINK("https://knigipp.ru/api/getInfo/image/634f79d8-66a8-11ee-a245-00155d82e902")</f>
        <v>https://knigipp.ru/api/getInfo/image/634f79d8-66a8-11ee-a245-00155d82e902</v>
      </c>
      <c r="AA1654" s="33">
        <v>16</v>
      </c>
      <c r="AB1654" s="5"/>
      <c r="AC1654" s="5" t="s">
        <v>96</v>
      </c>
      <c r="AD1654" s="5"/>
      <c r="AE1654" s="5" t="s">
        <v>49</v>
      </c>
      <c r="AF1654" s="5"/>
      <c r="AG1654" s="5"/>
      <c r="AH1654" s="5" t="s">
        <v>472</v>
      </c>
    </row>
    <row r="1655" spans="2:34" ht="21" customHeight="1" outlineLevel="4" x14ac:dyDescent="0.2">
      <c r="B1655" s="42">
        <v>1280</v>
      </c>
      <c r="C1655" s="5" t="s">
        <v>6835</v>
      </c>
      <c r="D1655" s="5" t="s">
        <v>6836</v>
      </c>
      <c r="E1655" s="6" t="s">
        <v>6837</v>
      </c>
      <c r="F1655" s="10"/>
      <c r="G1655" s="11" t="s">
        <v>6838</v>
      </c>
      <c r="H1655" s="12">
        <v>50</v>
      </c>
      <c r="I1655" s="13" t="s">
        <v>41</v>
      </c>
      <c r="J1655" s="13"/>
      <c r="K1655" s="13"/>
      <c r="L1655" s="4">
        <v>8</v>
      </c>
      <c r="M1655" s="14">
        <f>77*(1-P3/100)</f>
        <v>77</v>
      </c>
      <c r="N1655" s="15"/>
      <c r="O1655" s="13">
        <f t="shared" si="70"/>
        <v>0</v>
      </c>
      <c r="P1655" s="22">
        <f>0.053*N1655</f>
        <v>0</v>
      </c>
      <c r="Q1655" s="23">
        <f>0.00033*N1655</f>
        <v>0</v>
      </c>
      <c r="R1655" s="24"/>
      <c r="S1655" s="25" t="s">
        <v>6839</v>
      </c>
      <c r="T1655" s="25" t="s">
        <v>43</v>
      </c>
      <c r="U1655" s="5"/>
      <c r="V1655" s="5" t="s">
        <v>6840</v>
      </c>
      <c r="W1655" s="5" t="s">
        <v>46</v>
      </c>
      <c r="X1655" s="5"/>
      <c r="Y1655" s="5"/>
      <c r="Z1655" s="5" t="str">
        <f>HYPERLINK("https://knigipp.ru/api/getInfo/image/83d51abf-66a8-11ee-a245-00155d82e902")</f>
        <v>https://knigipp.ru/api/getInfo/image/83d51abf-66a8-11ee-a245-00155d82e902</v>
      </c>
      <c r="AA1655" s="33">
        <v>16</v>
      </c>
      <c r="AB1655" s="5"/>
      <c r="AC1655" s="5" t="s">
        <v>96</v>
      </c>
      <c r="AD1655" s="5"/>
      <c r="AE1655" s="5" t="s">
        <v>49</v>
      </c>
      <c r="AF1655" s="5"/>
      <c r="AG1655" s="5"/>
      <c r="AH1655" s="5" t="s">
        <v>472</v>
      </c>
    </row>
    <row r="1656" spans="2:34" ht="21" customHeight="1" outlineLevel="4" x14ac:dyDescent="0.2">
      <c r="B1656" s="42">
        <v>1281</v>
      </c>
      <c r="C1656" s="5" t="s">
        <v>6841</v>
      </c>
      <c r="D1656" s="5" t="s">
        <v>6842</v>
      </c>
      <c r="E1656" s="6" t="s">
        <v>6843</v>
      </c>
      <c r="F1656" s="10"/>
      <c r="G1656" s="11"/>
      <c r="H1656" s="12">
        <v>50</v>
      </c>
      <c r="I1656" s="13" t="s">
        <v>41</v>
      </c>
      <c r="J1656" s="13"/>
      <c r="K1656" s="13"/>
      <c r="L1656" s="4">
        <v>8</v>
      </c>
      <c r="M1656" s="14">
        <f>77*(1-P3/100)</f>
        <v>77</v>
      </c>
      <c r="N1656" s="15"/>
      <c r="O1656" s="13">
        <f t="shared" si="70"/>
        <v>0</v>
      </c>
      <c r="P1656" s="13">
        <v>0</v>
      </c>
      <c r="Q1656" s="13">
        <v>0</v>
      </c>
      <c r="R1656" s="24"/>
      <c r="S1656" s="25" t="s">
        <v>6844</v>
      </c>
      <c r="T1656" s="25" t="s">
        <v>43</v>
      </c>
      <c r="U1656" s="5"/>
      <c r="V1656" s="5" t="s">
        <v>6845</v>
      </c>
      <c r="W1656" s="5" t="s">
        <v>46</v>
      </c>
      <c r="X1656" s="5"/>
      <c r="Y1656" s="5"/>
      <c r="Z1656" s="5" t="str">
        <f>HYPERLINK("https://knigipp.ru/api/getInfo/image/597887ab-7e2e-11ee-a248-00155d82e902")</f>
        <v>https://knigipp.ru/api/getInfo/image/597887ab-7e2e-11ee-a248-00155d82e902</v>
      </c>
      <c r="AA1656" s="33">
        <v>16</v>
      </c>
      <c r="AB1656" s="5"/>
      <c r="AC1656" s="5" t="s">
        <v>96</v>
      </c>
      <c r="AD1656" s="5"/>
      <c r="AE1656" s="5" t="s">
        <v>49</v>
      </c>
      <c r="AF1656" s="5"/>
      <c r="AG1656" s="5"/>
      <c r="AH1656" s="5" t="s">
        <v>472</v>
      </c>
    </row>
    <row r="1657" spans="2:34" ht="21" customHeight="1" outlineLevel="4" x14ac:dyDescent="0.2">
      <c r="B1657" s="42">
        <v>1282</v>
      </c>
      <c r="C1657" s="5" t="s">
        <v>6846</v>
      </c>
      <c r="D1657" s="5" t="s">
        <v>6847</v>
      </c>
      <c r="E1657" s="6" t="s">
        <v>6848</v>
      </c>
      <c r="F1657" s="10"/>
      <c r="G1657" s="11" t="s">
        <v>6849</v>
      </c>
      <c r="H1657" s="12">
        <v>50</v>
      </c>
      <c r="I1657" s="13" t="s">
        <v>41</v>
      </c>
      <c r="J1657" s="13"/>
      <c r="K1657" s="13"/>
      <c r="L1657" s="4">
        <v>8</v>
      </c>
      <c r="M1657" s="14">
        <f>77*(1-P3/100)</f>
        <v>77</v>
      </c>
      <c r="N1657" s="15"/>
      <c r="O1657" s="13">
        <f t="shared" si="70"/>
        <v>0</v>
      </c>
      <c r="P1657" s="22">
        <f>0.061*N1657</f>
        <v>0</v>
      </c>
      <c r="Q1657" s="23">
        <f>0.00017*N1657</f>
        <v>0</v>
      </c>
      <c r="R1657" s="24"/>
      <c r="S1657" s="25" t="s">
        <v>6850</v>
      </c>
      <c r="T1657" s="25" t="s">
        <v>43</v>
      </c>
      <c r="U1657" s="5"/>
      <c r="V1657" s="5" t="s">
        <v>6851</v>
      </c>
      <c r="W1657" s="5" t="s">
        <v>46</v>
      </c>
      <c r="X1657" s="5"/>
      <c r="Y1657" s="5"/>
      <c r="Z1657" s="5" t="str">
        <f>HYPERLINK("https://knigipp.ru/api/getInfo/image/a68b0afa-66a8-11ee-a245-00155d82e902")</f>
        <v>https://knigipp.ru/api/getInfo/image/a68b0afa-66a8-11ee-a245-00155d82e902</v>
      </c>
      <c r="AA1657" s="33">
        <v>16</v>
      </c>
      <c r="AB1657" s="5"/>
      <c r="AC1657" s="5" t="s">
        <v>96</v>
      </c>
      <c r="AD1657" s="5"/>
      <c r="AE1657" s="5" t="s">
        <v>49</v>
      </c>
      <c r="AF1657" s="5"/>
      <c r="AG1657" s="5"/>
      <c r="AH1657" s="5" t="s">
        <v>472</v>
      </c>
    </row>
    <row r="1658" spans="2:34" ht="21" customHeight="1" outlineLevel="4" x14ac:dyDescent="0.2">
      <c r="B1658" s="42">
        <v>1283</v>
      </c>
      <c r="C1658" s="5" t="s">
        <v>6852</v>
      </c>
      <c r="D1658" s="5" t="s">
        <v>6853</v>
      </c>
      <c r="E1658" s="6" t="s">
        <v>6854</v>
      </c>
      <c r="F1658" s="10"/>
      <c r="G1658" s="11"/>
      <c r="H1658" s="12">
        <v>50</v>
      </c>
      <c r="I1658" s="13" t="s">
        <v>371</v>
      </c>
      <c r="J1658" s="13"/>
      <c r="K1658" s="13"/>
      <c r="L1658" s="4">
        <v>8</v>
      </c>
      <c r="M1658" s="14">
        <f>77*(1-P3/100)</f>
        <v>77</v>
      </c>
      <c r="N1658" s="15"/>
      <c r="O1658" s="13">
        <f t="shared" si="70"/>
        <v>0</v>
      </c>
      <c r="P1658" s="13">
        <v>0</v>
      </c>
      <c r="Q1658" s="13">
        <v>0</v>
      </c>
      <c r="R1658" s="24"/>
      <c r="S1658" s="25" t="s">
        <v>6855</v>
      </c>
      <c r="T1658" s="25" t="s">
        <v>43</v>
      </c>
      <c r="U1658" s="5"/>
      <c r="V1658" s="5" t="s">
        <v>6856</v>
      </c>
      <c r="W1658" s="5" t="s">
        <v>46</v>
      </c>
      <c r="X1658" s="5"/>
      <c r="Y1658" s="5"/>
      <c r="Z1658" s="5" t="str">
        <f>HYPERLINK("https://knigipp.ru/api/getInfo/image/8049e136-7e2e-11ee-a248-00155d82e902")</f>
        <v>https://knigipp.ru/api/getInfo/image/8049e136-7e2e-11ee-a248-00155d82e902</v>
      </c>
      <c r="AA1658" s="33">
        <v>16</v>
      </c>
      <c r="AB1658" s="5"/>
      <c r="AC1658" s="5" t="s">
        <v>96</v>
      </c>
      <c r="AD1658" s="5"/>
      <c r="AE1658" s="5" t="s">
        <v>49</v>
      </c>
      <c r="AF1658" s="5"/>
      <c r="AG1658" s="5"/>
      <c r="AH1658" s="5" t="s">
        <v>472</v>
      </c>
    </row>
    <row r="1659" spans="2:34" ht="21" customHeight="1" outlineLevel="4" x14ac:dyDescent="0.2">
      <c r="B1659" s="42">
        <v>1284</v>
      </c>
      <c r="C1659" s="5" t="s">
        <v>6857</v>
      </c>
      <c r="D1659" s="5" t="s">
        <v>6858</v>
      </c>
      <c r="E1659" s="6" t="s">
        <v>6859</v>
      </c>
      <c r="F1659" s="10"/>
      <c r="G1659" s="11" t="s">
        <v>6860</v>
      </c>
      <c r="H1659" s="12">
        <v>50</v>
      </c>
      <c r="I1659" s="13" t="s">
        <v>261</v>
      </c>
      <c r="J1659" s="13"/>
      <c r="K1659" s="13"/>
      <c r="L1659" s="4">
        <v>8</v>
      </c>
      <c r="M1659" s="14">
        <f>77*(1-P3/100)</f>
        <v>77</v>
      </c>
      <c r="N1659" s="15"/>
      <c r="O1659" s="13">
        <f t="shared" si="70"/>
        <v>0</v>
      </c>
      <c r="P1659" s="22">
        <f>0.064*N1659</f>
        <v>0</v>
      </c>
      <c r="Q1659" s="23">
        <f>0.00028*N1659</f>
        <v>0</v>
      </c>
      <c r="R1659" s="24"/>
      <c r="S1659" s="25" t="s">
        <v>6861</v>
      </c>
      <c r="T1659" s="25" t="s">
        <v>43</v>
      </c>
      <c r="U1659" s="5"/>
      <c r="V1659" s="5" t="s">
        <v>6862</v>
      </c>
      <c r="W1659" s="5" t="s">
        <v>46</v>
      </c>
      <c r="X1659" s="5"/>
      <c r="Y1659" s="5"/>
      <c r="Z1659" s="5" t="str">
        <f>HYPERLINK("https://knigipp.ru/api/getInfo/image/dbc71da2-66a8-11ee-a245-00155d82e902")</f>
        <v>https://knigipp.ru/api/getInfo/image/dbc71da2-66a8-11ee-a245-00155d82e902</v>
      </c>
      <c r="AA1659" s="33">
        <v>16</v>
      </c>
      <c r="AB1659" s="5"/>
      <c r="AC1659" s="5" t="s">
        <v>96</v>
      </c>
      <c r="AD1659" s="5"/>
      <c r="AE1659" s="5" t="s">
        <v>49</v>
      </c>
      <c r="AF1659" s="5"/>
      <c r="AG1659" s="5"/>
      <c r="AH1659" s="5" t="s">
        <v>472</v>
      </c>
    </row>
    <row r="1660" spans="2:34" ht="21" customHeight="1" outlineLevel="4" x14ac:dyDescent="0.2">
      <c r="B1660" s="42">
        <v>1285</v>
      </c>
      <c r="C1660" s="5" t="s">
        <v>6863</v>
      </c>
      <c r="D1660" s="5" t="s">
        <v>6864</v>
      </c>
      <c r="E1660" s="6" t="s">
        <v>6865</v>
      </c>
      <c r="F1660" s="10"/>
      <c r="G1660" s="11"/>
      <c r="H1660" s="12">
        <v>50</v>
      </c>
      <c r="I1660" s="13" t="s">
        <v>41</v>
      </c>
      <c r="J1660" s="13"/>
      <c r="K1660" s="13"/>
      <c r="L1660" s="4">
        <v>8</v>
      </c>
      <c r="M1660" s="14">
        <f>77*(1-P3/100)</f>
        <v>77</v>
      </c>
      <c r="N1660" s="15"/>
      <c r="O1660" s="13">
        <f t="shared" si="70"/>
        <v>0</v>
      </c>
      <c r="P1660" s="13">
        <v>0</v>
      </c>
      <c r="Q1660" s="13">
        <v>0</v>
      </c>
      <c r="R1660" s="24"/>
      <c r="S1660" s="25" t="s">
        <v>6866</v>
      </c>
      <c r="T1660" s="25" t="s">
        <v>43</v>
      </c>
      <c r="U1660" s="5"/>
      <c r="V1660" s="5" t="s">
        <v>6867</v>
      </c>
      <c r="W1660" s="5" t="s">
        <v>46</v>
      </c>
      <c r="X1660" s="5"/>
      <c r="Y1660" s="5"/>
      <c r="Z1660" s="5" t="str">
        <f>HYPERLINK("https://knigipp.ru/api/getInfo/image/ad28f5e5-7e2e-11ee-a248-00155d82e902")</f>
        <v>https://knigipp.ru/api/getInfo/image/ad28f5e5-7e2e-11ee-a248-00155d82e902</v>
      </c>
      <c r="AA1660" s="33">
        <v>16</v>
      </c>
      <c r="AB1660" s="5"/>
      <c r="AC1660" s="5" t="s">
        <v>96</v>
      </c>
      <c r="AD1660" s="5"/>
      <c r="AE1660" s="5" t="s">
        <v>49</v>
      </c>
      <c r="AF1660" s="5"/>
      <c r="AG1660" s="5"/>
      <c r="AH1660" s="5" t="s">
        <v>472</v>
      </c>
    </row>
    <row r="1661" spans="2:34" ht="22.95" customHeight="1" outlineLevel="3" x14ac:dyDescent="0.2">
      <c r="B1661" s="74" t="s">
        <v>6868</v>
      </c>
      <c r="C1661" s="74"/>
      <c r="D1661" s="74"/>
    </row>
    <row r="1662" spans="2:34" ht="21" customHeight="1" outlineLevel="4" x14ac:dyDescent="0.2">
      <c r="B1662" s="42">
        <v>1286</v>
      </c>
      <c r="C1662" s="5" t="s">
        <v>6869</v>
      </c>
      <c r="D1662" s="5" t="s">
        <v>6870</v>
      </c>
      <c r="E1662" s="6" t="s">
        <v>6871</v>
      </c>
      <c r="F1662" s="10"/>
      <c r="G1662" s="11" t="s">
        <v>6872</v>
      </c>
      <c r="H1662" s="12">
        <v>30</v>
      </c>
      <c r="I1662" s="13" t="s">
        <v>371</v>
      </c>
      <c r="J1662" s="13"/>
      <c r="K1662" s="13"/>
      <c r="L1662" s="4">
        <v>8</v>
      </c>
      <c r="M1662" s="14">
        <f>79*(1-P3/100)</f>
        <v>79</v>
      </c>
      <c r="N1662" s="15"/>
      <c r="O1662" s="13">
        <f>M1662*N1662</f>
        <v>0</v>
      </c>
      <c r="P1662" s="22">
        <f>0.106*N1662</f>
        <v>0</v>
      </c>
      <c r="Q1662" s="23">
        <f>0.00023*N1662</f>
        <v>0</v>
      </c>
      <c r="R1662" s="24"/>
      <c r="S1662" s="25" t="s">
        <v>6873</v>
      </c>
      <c r="T1662" s="25" t="s">
        <v>43</v>
      </c>
      <c r="U1662" s="5"/>
      <c r="V1662" s="5"/>
      <c r="W1662" s="5" t="s">
        <v>46</v>
      </c>
      <c r="X1662" s="5"/>
      <c r="Y1662" s="5"/>
      <c r="Z1662" s="5" t="str">
        <f>HYPERLINK("https://knigipp.ru/api/getInfo/image/51467185-4a76-11eb-a25e-ac1f6b442184")</f>
        <v>https://knigipp.ru/api/getInfo/image/51467185-4a76-11eb-a25e-ac1f6b442184</v>
      </c>
      <c r="AA1662" s="33">
        <v>16</v>
      </c>
      <c r="AB1662" s="5"/>
      <c r="AC1662" s="5" t="s">
        <v>96</v>
      </c>
      <c r="AD1662" s="5"/>
      <c r="AE1662" s="5" t="s">
        <v>49</v>
      </c>
      <c r="AF1662" s="5"/>
      <c r="AG1662" s="5"/>
      <c r="AH1662" s="5" t="s">
        <v>4479</v>
      </c>
    </row>
    <row r="1663" spans="2:34" ht="21" customHeight="1" outlineLevel="4" x14ac:dyDescent="0.2">
      <c r="B1663" s="42">
        <v>1287</v>
      </c>
      <c r="C1663" s="5" t="s">
        <v>6874</v>
      </c>
      <c r="D1663" s="5" t="s">
        <v>6875</v>
      </c>
      <c r="E1663" s="6" t="s">
        <v>6876</v>
      </c>
      <c r="F1663" s="10"/>
      <c r="G1663" s="11" t="s">
        <v>6872</v>
      </c>
      <c r="H1663" s="12">
        <v>30</v>
      </c>
      <c r="I1663" s="13" t="s">
        <v>371</v>
      </c>
      <c r="J1663" s="13"/>
      <c r="K1663" s="13"/>
      <c r="L1663" s="4">
        <v>8</v>
      </c>
      <c r="M1663" s="14">
        <f>79*(1-P3/100)</f>
        <v>79</v>
      </c>
      <c r="N1663" s="15"/>
      <c r="O1663" s="13">
        <f>M1663*N1663</f>
        <v>0</v>
      </c>
      <c r="P1663" s="22">
        <f>0.106*N1663</f>
        <v>0</v>
      </c>
      <c r="Q1663" s="23">
        <f>0.00033*N1663</f>
        <v>0</v>
      </c>
      <c r="R1663" s="24"/>
      <c r="S1663" s="25" t="s">
        <v>6877</v>
      </c>
      <c r="T1663" s="25" t="s">
        <v>43</v>
      </c>
      <c r="U1663" s="5"/>
      <c r="V1663" s="5"/>
      <c r="W1663" s="5" t="s">
        <v>46</v>
      </c>
      <c r="X1663" s="5"/>
      <c r="Y1663" s="5"/>
      <c r="Z1663" s="5" t="str">
        <f>HYPERLINK("https://knigipp.ru/api/getInfo/image/186a5018-5370-11ec-a20f-ac1f6b442185")</f>
        <v>https://knigipp.ru/api/getInfo/image/186a5018-5370-11ec-a20f-ac1f6b442185</v>
      </c>
      <c r="AA1663" s="33">
        <v>16</v>
      </c>
      <c r="AB1663" s="5"/>
      <c r="AC1663" s="5" t="s">
        <v>96</v>
      </c>
      <c r="AD1663" s="5"/>
      <c r="AE1663" s="5" t="s">
        <v>49</v>
      </c>
      <c r="AF1663" s="5"/>
      <c r="AG1663" s="5"/>
      <c r="AH1663" s="5" t="s">
        <v>4479</v>
      </c>
    </row>
    <row r="1664" spans="2:34" ht="22.95" customHeight="1" outlineLevel="3" x14ac:dyDescent="0.2">
      <c r="B1664" s="74" t="s">
        <v>6878</v>
      </c>
      <c r="C1664" s="74"/>
      <c r="D1664" s="74"/>
    </row>
    <row r="1665" spans="2:35" ht="21" customHeight="1" outlineLevel="4" x14ac:dyDescent="0.2">
      <c r="B1665" s="42">
        <v>1288</v>
      </c>
      <c r="C1665" s="5" t="s">
        <v>6879</v>
      </c>
      <c r="D1665" s="5" t="s">
        <v>6880</v>
      </c>
      <c r="E1665" s="6" t="s">
        <v>6881</v>
      </c>
      <c r="F1665" s="10"/>
      <c r="G1665" s="11" t="s">
        <v>6882</v>
      </c>
      <c r="H1665" s="12">
        <v>20</v>
      </c>
      <c r="I1665" s="13" t="s">
        <v>41</v>
      </c>
      <c r="J1665" s="13"/>
      <c r="K1665" s="13"/>
      <c r="L1665" s="4">
        <v>3</v>
      </c>
      <c r="M1665" s="14">
        <f>199*(1-P3/100)</f>
        <v>199</v>
      </c>
      <c r="N1665" s="15"/>
      <c r="O1665" s="13">
        <f t="shared" ref="O1665:O1670" si="71">M1665*N1665</f>
        <v>0</v>
      </c>
      <c r="P1665" s="32">
        <f>0.23*N1665</f>
        <v>0</v>
      </c>
      <c r="Q1665" s="23">
        <f>0.00292*N1665</f>
        <v>0</v>
      </c>
      <c r="R1665" s="24"/>
      <c r="S1665" s="25" t="s">
        <v>6883</v>
      </c>
      <c r="T1665" s="25" t="s">
        <v>43</v>
      </c>
      <c r="U1665" s="5"/>
      <c r="V1665" s="5"/>
      <c r="W1665" s="5" t="s">
        <v>46</v>
      </c>
      <c r="X1665" s="5"/>
      <c r="Y1665" s="5"/>
      <c r="Z1665" s="5" t="str">
        <f>HYPERLINK("https://knigipp.ru/api/getInfo/image/334371c7-0a5e-11ec-a20e-ac1f6b442185")</f>
        <v>https://knigipp.ru/api/getInfo/image/334371c7-0a5e-11ec-a20e-ac1f6b442185</v>
      </c>
      <c r="AA1665" s="5"/>
      <c r="AB1665" s="5"/>
      <c r="AC1665" s="5"/>
      <c r="AD1665" s="5"/>
      <c r="AE1665" s="5" t="s">
        <v>49</v>
      </c>
      <c r="AF1665" s="5"/>
      <c r="AG1665" s="5"/>
      <c r="AH1665" s="5" t="s">
        <v>6884</v>
      </c>
    </row>
    <row r="1666" spans="2:35" ht="21" customHeight="1" outlineLevel="4" x14ac:dyDescent="0.2">
      <c r="B1666" s="42">
        <v>1289</v>
      </c>
      <c r="C1666" s="5" t="s">
        <v>6885</v>
      </c>
      <c r="D1666" s="5" t="s">
        <v>6886</v>
      </c>
      <c r="E1666" s="6" t="s">
        <v>6887</v>
      </c>
      <c r="F1666" s="10"/>
      <c r="G1666" s="11" t="s">
        <v>6882</v>
      </c>
      <c r="H1666" s="12">
        <v>20</v>
      </c>
      <c r="I1666" s="13" t="s">
        <v>41</v>
      </c>
      <c r="J1666" s="13"/>
      <c r="K1666" s="13"/>
      <c r="L1666" s="4">
        <v>3</v>
      </c>
      <c r="M1666" s="14">
        <f>199*(1-P3/100)</f>
        <v>199</v>
      </c>
      <c r="N1666" s="15"/>
      <c r="O1666" s="13">
        <f t="shared" si="71"/>
        <v>0</v>
      </c>
      <c r="P1666" s="22">
        <f>0.183*N1666</f>
        <v>0</v>
      </c>
      <c r="Q1666" s="30">
        <f>0.0035*N1666</f>
        <v>0</v>
      </c>
      <c r="R1666" s="24"/>
      <c r="S1666" s="25" t="s">
        <v>6888</v>
      </c>
      <c r="T1666" s="25" t="s">
        <v>43</v>
      </c>
      <c r="U1666" s="5"/>
      <c r="V1666" s="5"/>
      <c r="W1666" s="5" t="s">
        <v>46</v>
      </c>
      <c r="X1666" s="5"/>
      <c r="Y1666" s="5"/>
      <c r="Z1666" s="5" t="str">
        <f>HYPERLINK("https://knigipp.ru/api/getInfo/image/52003c79-7b61-11eb-a275-ac1f6b442184")</f>
        <v>https://knigipp.ru/api/getInfo/image/52003c79-7b61-11eb-a275-ac1f6b442184</v>
      </c>
      <c r="AA1666" s="5"/>
      <c r="AB1666" s="5"/>
      <c r="AC1666" s="5"/>
      <c r="AD1666" s="5"/>
      <c r="AE1666" s="5" t="s">
        <v>49</v>
      </c>
      <c r="AF1666" s="5"/>
      <c r="AG1666" s="5"/>
      <c r="AH1666" s="5" t="s">
        <v>6884</v>
      </c>
    </row>
    <row r="1667" spans="2:35" ht="21" customHeight="1" outlineLevel="4" x14ac:dyDescent="0.2">
      <c r="B1667" s="42">
        <v>1290</v>
      </c>
      <c r="C1667" s="5" t="s">
        <v>6889</v>
      </c>
      <c r="D1667" s="5" t="s">
        <v>6890</v>
      </c>
      <c r="E1667" s="6" t="s">
        <v>6891</v>
      </c>
      <c r="F1667" s="10"/>
      <c r="G1667" s="11" t="s">
        <v>6882</v>
      </c>
      <c r="H1667" s="12">
        <v>20</v>
      </c>
      <c r="I1667" s="13" t="s">
        <v>41</v>
      </c>
      <c r="J1667" s="13"/>
      <c r="K1667" s="13"/>
      <c r="L1667" s="4">
        <v>3</v>
      </c>
      <c r="M1667" s="14">
        <f>199*(1-P3/100)</f>
        <v>199</v>
      </c>
      <c r="N1667" s="15"/>
      <c r="O1667" s="13">
        <f t="shared" si="71"/>
        <v>0</v>
      </c>
      <c r="P1667" s="32">
        <f>0.23*N1667</f>
        <v>0</v>
      </c>
      <c r="Q1667" s="23">
        <f>0.00292*N1667</f>
        <v>0</v>
      </c>
      <c r="R1667" s="24"/>
      <c r="S1667" s="25" t="s">
        <v>6892</v>
      </c>
      <c r="T1667" s="25" t="s">
        <v>43</v>
      </c>
      <c r="U1667" s="5"/>
      <c r="V1667" s="5"/>
      <c r="W1667" s="5" t="s">
        <v>46</v>
      </c>
      <c r="X1667" s="5"/>
      <c r="Y1667" s="5"/>
      <c r="Z1667" s="5" t="str">
        <f>HYPERLINK("https://knigipp.ru/api/getInfo/image/2d67e0e0-7b61-11eb-a275-ac1f6b442184")</f>
        <v>https://knigipp.ru/api/getInfo/image/2d67e0e0-7b61-11eb-a275-ac1f6b442184</v>
      </c>
      <c r="AA1667" s="5"/>
      <c r="AB1667" s="5"/>
      <c r="AC1667" s="5"/>
      <c r="AD1667" s="5"/>
      <c r="AE1667" s="5" t="s">
        <v>49</v>
      </c>
      <c r="AF1667" s="5"/>
      <c r="AG1667" s="5"/>
      <c r="AH1667" s="5" t="s">
        <v>6884</v>
      </c>
    </row>
    <row r="1668" spans="2:35" ht="21" customHeight="1" outlineLevel="4" x14ac:dyDescent="0.2">
      <c r="B1668" s="42">
        <v>1291</v>
      </c>
      <c r="C1668" s="5" t="s">
        <v>6893</v>
      </c>
      <c r="D1668" s="5" t="s">
        <v>6894</v>
      </c>
      <c r="E1668" s="6" t="s">
        <v>6895</v>
      </c>
      <c r="F1668" s="10"/>
      <c r="G1668" s="11" t="s">
        <v>6882</v>
      </c>
      <c r="H1668" s="12">
        <v>20</v>
      </c>
      <c r="I1668" s="13" t="s">
        <v>41</v>
      </c>
      <c r="J1668" s="13"/>
      <c r="K1668" s="13"/>
      <c r="L1668" s="4">
        <v>3</v>
      </c>
      <c r="M1668" s="14">
        <f>199*(1-P3/100)</f>
        <v>199</v>
      </c>
      <c r="N1668" s="15"/>
      <c r="O1668" s="13">
        <f t="shared" si="71"/>
        <v>0</v>
      </c>
      <c r="P1668" s="22">
        <f>0.189*N1668</f>
        <v>0</v>
      </c>
      <c r="Q1668" s="23">
        <f>0.00345*N1668</f>
        <v>0</v>
      </c>
      <c r="R1668" s="24"/>
      <c r="S1668" s="25" t="s">
        <v>6896</v>
      </c>
      <c r="T1668" s="25" t="s">
        <v>43</v>
      </c>
      <c r="U1668" s="5"/>
      <c r="V1668" s="5"/>
      <c r="W1668" s="5" t="s">
        <v>46</v>
      </c>
      <c r="X1668" s="5"/>
      <c r="Y1668" s="5"/>
      <c r="Z1668" s="5" t="str">
        <f>HYPERLINK("https://knigipp.ru/api/getInfo/image/fcc2141d-7b60-11eb-a275-ac1f6b442184")</f>
        <v>https://knigipp.ru/api/getInfo/image/fcc2141d-7b60-11eb-a275-ac1f6b442184</v>
      </c>
      <c r="AA1668" s="5"/>
      <c r="AB1668" s="5"/>
      <c r="AC1668" s="5"/>
      <c r="AD1668" s="5"/>
      <c r="AE1668" s="5" t="s">
        <v>49</v>
      </c>
      <c r="AF1668" s="5"/>
      <c r="AG1668" s="5"/>
      <c r="AH1668" s="5" t="s">
        <v>6884</v>
      </c>
    </row>
    <row r="1669" spans="2:35" ht="21" customHeight="1" outlineLevel="4" x14ac:dyDescent="0.2">
      <c r="B1669" s="42">
        <v>1292</v>
      </c>
      <c r="C1669" s="5" t="s">
        <v>6897</v>
      </c>
      <c r="D1669" s="5" t="s">
        <v>6898</v>
      </c>
      <c r="E1669" s="6" t="s">
        <v>6899</v>
      </c>
      <c r="F1669" s="10"/>
      <c r="G1669" s="11" t="s">
        <v>6882</v>
      </c>
      <c r="H1669" s="12">
        <v>20</v>
      </c>
      <c r="I1669" s="13" t="s">
        <v>41</v>
      </c>
      <c r="J1669" s="13"/>
      <c r="K1669" s="13"/>
      <c r="L1669" s="4">
        <v>3</v>
      </c>
      <c r="M1669" s="14">
        <f>199*(1-P3/100)</f>
        <v>199</v>
      </c>
      <c r="N1669" s="15"/>
      <c r="O1669" s="13">
        <f t="shared" si="71"/>
        <v>0</v>
      </c>
      <c r="P1669" s="22">
        <f>0.186*N1669</f>
        <v>0</v>
      </c>
      <c r="Q1669" s="23">
        <f>0.00348*N1669</f>
        <v>0</v>
      </c>
      <c r="R1669" s="24"/>
      <c r="S1669" s="25" t="s">
        <v>6900</v>
      </c>
      <c r="T1669" s="25" t="s">
        <v>43</v>
      </c>
      <c r="U1669" s="5"/>
      <c r="V1669" s="5"/>
      <c r="W1669" s="5" t="s">
        <v>46</v>
      </c>
      <c r="X1669" s="5"/>
      <c r="Y1669" s="5"/>
      <c r="Z1669" s="5" t="str">
        <f>HYPERLINK("https://knigipp.ru/api/getInfo/image/0c6c672a-0a5e-11ec-a20e-ac1f6b442185")</f>
        <v>https://knigipp.ru/api/getInfo/image/0c6c672a-0a5e-11ec-a20e-ac1f6b442185</v>
      </c>
      <c r="AA1669" s="5"/>
      <c r="AB1669" s="5"/>
      <c r="AC1669" s="5"/>
      <c r="AD1669" s="5"/>
      <c r="AE1669" s="5" t="s">
        <v>49</v>
      </c>
      <c r="AF1669" s="5"/>
      <c r="AG1669" s="5"/>
      <c r="AH1669" s="5" t="s">
        <v>6884</v>
      </c>
    </row>
    <row r="1670" spans="2:35" ht="21" customHeight="1" outlineLevel="4" x14ac:dyDescent="0.2">
      <c r="B1670" s="42">
        <v>1293</v>
      </c>
      <c r="C1670" s="5" t="s">
        <v>6901</v>
      </c>
      <c r="D1670" s="5" t="s">
        <v>6902</v>
      </c>
      <c r="E1670" s="6" t="s">
        <v>6903</v>
      </c>
      <c r="F1670" s="10"/>
      <c r="G1670" s="11" t="s">
        <v>6882</v>
      </c>
      <c r="H1670" s="12">
        <v>20</v>
      </c>
      <c r="I1670" s="13" t="s">
        <v>41</v>
      </c>
      <c r="J1670" s="13"/>
      <c r="K1670" s="13"/>
      <c r="L1670" s="4">
        <v>3</v>
      </c>
      <c r="M1670" s="14">
        <f>199*(1-P3/100)</f>
        <v>199</v>
      </c>
      <c r="N1670" s="15"/>
      <c r="O1670" s="13">
        <f t="shared" si="71"/>
        <v>0</v>
      </c>
      <c r="P1670" s="22">
        <f>0.183*N1670</f>
        <v>0</v>
      </c>
      <c r="Q1670" s="30">
        <f>0.0034*N1670</f>
        <v>0</v>
      </c>
      <c r="R1670" s="24"/>
      <c r="S1670" s="25" t="s">
        <v>6904</v>
      </c>
      <c r="T1670" s="25" t="s">
        <v>43</v>
      </c>
      <c r="U1670" s="5"/>
      <c r="V1670" s="5"/>
      <c r="W1670" s="5" t="s">
        <v>46</v>
      </c>
      <c r="X1670" s="5"/>
      <c r="Y1670" s="5"/>
      <c r="Z1670" s="5" t="str">
        <f>HYPERLINK("https://knigipp.ru/api/getInfo/image/e95d6439-0a5d-11ec-a20e-ac1f6b442185")</f>
        <v>https://knigipp.ru/api/getInfo/image/e95d6439-0a5d-11ec-a20e-ac1f6b442185</v>
      </c>
      <c r="AA1670" s="5"/>
      <c r="AB1670" s="5"/>
      <c r="AC1670" s="5"/>
      <c r="AD1670" s="5"/>
      <c r="AE1670" s="5" t="s">
        <v>49</v>
      </c>
      <c r="AF1670" s="5"/>
      <c r="AG1670" s="5"/>
      <c r="AH1670" s="5" t="s">
        <v>6884</v>
      </c>
    </row>
    <row r="1671" spans="2:35" ht="22.95" customHeight="1" outlineLevel="3" x14ac:dyDescent="0.2">
      <c r="B1671" s="74" t="s">
        <v>6905</v>
      </c>
      <c r="C1671" s="74"/>
      <c r="D1671" s="74"/>
    </row>
    <row r="1672" spans="2:35" ht="21" customHeight="1" outlineLevel="4" x14ac:dyDescent="0.2">
      <c r="B1672" s="42">
        <v>1294</v>
      </c>
      <c r="C1672" s="5" t="s">
        <v>6906</v>
      </c>
      <c r="D1672" s="5" t="s">
        <v>6907</v>
      </c>
      <c r="E1672" s="6" t="s">
        <v>6908</v>
      </c>
      <c r="F1672" s="10"/>
      <c r="G1672" s="11" t="s">
        <v>6909</v>
      </c>
      <c r="H1672" s="12">
        <v>30</v>
      </c>
      <c r="I1672" s="13" t="s">
        <v>41</v>
      </c>
      <c r="J1672" s="13"/>
      <c r="K1672" s="13"/>
      <c r="L1672" s="4">
        <v>20</v>
      </c>
      <c r="M1672" s="14">
        <f>34.9*(1-P3/100)</f>
        <v>34.9</v>
      </c>
      <c r="N1672" s="15"/>
      <c r="O1672" s="13">
        <f>M1672*N1672</f>
        <v>0</v>
      </c>
      <c r="P1672" s="13">
        <v>0</v>
      </c>
      <c r="Q1672" s="13">
        <v>0</v>
      </c>
      <c r="R1672" s="24"/>
      <c r="S1672" s="25" t="s">
        <v>6910</v>
      </c>
      <c r="T1672" s="25" t="s">
        <v>43</v>
      </c>
      <c r="U1672" s="5"/>
      <c r="V1672" s="5"/>
      <c r="W1672" s="5" t="s">
        <v>46</v>
      </c>
      <c r="X1672" s="5"/>
      <c r="Y1672" s="5"/>
      <c r="Z1672" s="5" t="str">
        <f>HYPERLINK("https://knigipp.ru/api/getInfo/image/bf656c17-b83c-11ed-a230-00155d82e902")</f>
        <v>https://knigipp.ru/api/getInfo/image/bf656c17-b83c-11ed-a230-00155d82e902</v>
      </c>
      <c r="AA1672" s="33">
        <v>12</v>
      </c>
      <c r="AB1672" s="5"/>
      <c r="AC1672" s="5" t="s">
        <v>96</v>
      </c>
      <c r="AD1672" s="5"/>
      <c r="AE1672" s="5" t="s">
        <v>49</v>
      </c>
      <c r="AF1672" s="5"/>
      <c r="AG1672" s="5"/>
      <c r="AH1672" s="5" t="s">
        <v>6911</v>
      </c>
    </row>
    <row r="1673" spans="2:35" ht="21" customHeight="1" outlineLevel="4" x14ac:dyDescent="0.2">
      <c r="B1673" s="42">
        <v>1295</v>
      </c>
      <c r="C1673" s="5" t="s">
        <v>6912</v>
      </c>
      <c r="D1673" s="5" t="s">
        <v>6913</v>
      </c>
      <c r="E1673" s="6" t="s">
        <v>6914</v>
      </c>
      <c r="F1673" s="10"/>
      <c r="G1673" s="11" t="s">
        <v>6909</v>
      </c>
      <c r="H1673" s="12">
        <v>30</v>
      </c>
      <c r="I1673" s="13" t="s">
        <v>41</v>
      </c>
      <c r="J1673" s="13"/>
      <c r="K1673" s="13"/>
      <c r="L1673" s="4">
        <v>20</v>
      </c>
      <c r="M1673" s="14">
        <f>34.9*(1-P3/100)</f>
        <v>34.9</v>
      </c>
      <c r="N1673" s="15"/>
      <c r="O1673" s="13">
        <f>M1673*N1673</f>
        <v>0</v>
      </c>
      <c r="P1673" s="13">
        <v>0</v>
      </c>
      <c r="Q1673" s="13">
        <v>0</v>
      </c>
      <c r="R1673" s="24"/>
      <c r="S1673" s="25" t="s">
        <v>6915</v>
      </c>
      <c r="T1673" s="25" t="s">
        <v>43</v>
      </c>
      <c r="U1673" s="5"/>
      <c r="V1673" s="5"/>
      <c r="W1673" s="5" t="s">
        <v>46</v>
      </c>
      <c r="X1673" s="5"/>
      <c r="Y1673" s="5"/>
      <c r="Z1673" s="5" t="str">
        <f>HYPERLINK("https://knigipp.ru/api/getInfo/image/e5c92695-b83c-11ed-a230-00155d82e902")</f>
        <v>https://knigipp.ru/api/getInfo/image/e5c92695-b83c-11ed-a230-00155d82e902</v>
      </c>
      <c r="AA1673" s="33">
        <v>12</v>
      </c>
      <c r="AB1673" s="5"/>
      <c r="AC1673" s="5" t="s">
        <v>96</v>
      </c>
      <c r="AD1673" s="5"/>
      <c r="AE1673" s="5" t="s">
        <v>49</v>
      </c>
      <c r="AF1673" s="5"/>
      <c r="AG1673" s="5"/>
      <c r="AH1673" s="5" t="s">
        <v>6911</v>
      </c>
    </row>
    <row r="1674" spans="2:35" ht="21" customHeight="1" outlineLevel="4" x14ac:dyDescent="0.2">
      <c r="B1674" s="42">
        <v>1296</v>
      </c>
      <c r="C1674" s="5" t="s">
        <v>6916</v>
      </c>
      <c r="D1674" s="5" t="s">
        <v>6917</v>
      </c>
      <c r="E1674" s="6" t="s">
        <v>6918</v>
      </c>
      <c r="F1674" s="10"/>
      <c r="G1674" s="11" t="s">
        <v>6909</v>
      </c>
      <c r="H1674" s="12">
        <v>30</v>
      </c>
      <c r="I1674" s="13" t="s">
        <v>41</v>
      </c>
      <c r="J1674" s="13"/>
      <c r="K1674" s="13"/>
      <c r="L1674" s="4">
        <v>20</v>
      </c>
      <c r="M1674" s="14">
        <f>34.9*(1-P3/100)</f>
        <v>34.9</v>
      </c>
      <c r="N1674" s="15"/>
      <c r="O1674" s="13">
        <f>M1674*N1674</f>
        <v>0</v>
      </c>
      <c r="P1674" s="13">
        <v>0</v>
      </c>
      <c r="Q1674" s="13">
        <v>0</v>
      </c>
      <c r="R1674" s="24"/>
      <c r="S1674" s="25" t="s">
        <v>6919</v>
      </c>
      <c r="T1674" s="25" t="s">
        <v>43</v>
      </c>
      <c r="U1674" s="5"/>
      <c r="V1674" s="5"/>
      <c r="W1674" s="5" t="s">
        <v>46</v>
      </c>
      <c r="X1674" s="5"/>
      <c r="Y1674" s="5"/>
      <c r="Z1674" s="5" t="str">
        <f>HYPERLINK("https://knigipp.ru/api/getInfo/image/0aeae18d-b83d-11ed-a230-00155d82e902")</f>
        <v>https://knigipp.ru/api/getInfo/image/0aeae18d-b83d-11ed-a230-00155d82e902</v>
      </c>
      <c r="AA1674" s="33">
        <v>12</v>
      </c>
      <c r="AB1674" s="5"/>
      <c r="AC1674" s="5" t="s">
        <v>96</v>
      </c>
      <c r="AD1674" s="5"/>
      <c r="AE1674" s="5" t="s">
        <v>49</v>
      </c>
      <c r="AF1674" s="5"/>
      <c r="AG1674" s="5"/>
      <c r="AH1674" s="5" t="s">
        <v>6911</v>
      </c>
    </row>
    <row r="1675" spans="2:35" ht="21" customHeight="1" outlineLevel="4" x14ac:dyDescent="0.2">
      <c r="B1675" s="42">
        <v>1297</v>
      </c>
      <c r="C1675" s="5" t="s">
        <v>6920</v>
      </c>
      <c r="D1675" s="5" t="s">
        <v>6921</v>
      </c>
      <c r="E1675" s="6" t="s">
        <v>6922</v>
      </c>
      <c r="F1675" s="10"/>
      <c r="G1675" s="11" t="s">
        <v>6909</v>
      </c>
      <c r="H1675" s="12">
        <v>30</v>
      </c>
      <c r="I1675" s="13" t="s">
        <v>41</v>
      </c>
      <c r="J1675" s="13"/>
      <c r="K1675" s="13"/>
      <c r="L1675" s="4">
        <v>20</v>
      </c>
      <c r="M1675" s="14">
        <f>34.9*(1-P3/100)</f>
        <v>34.9</v>
      </c>
      <c r="N1675" s="15"/>
      <c r="O1675" s="13">
        <f>M1675*N1675</f>
        <v>0</v>
      </c>
      <c r="P1675" s="13">
        <v>0</v>
      </c>
      <c r="Q1675" s="13">
        <v>0</v>
      </c>
      <c r="R1675" s="24"/>
      <c r="S1675" s="25" t="s">
        <v>6923</v>
      </c>
      <c r="T1675" s="25" t="s">
        <v>43</v>
      </c>
      <c r="U1675" s="5"/>
      <c r="V1675" s="5"/>
      <c r="W1675" s="5" t="s">
        <v>46</v>
      </c>
      <c r="X1675" s="5"/>
      <c r="Y1675" s="5"/>
      <c r="Z1675" s="5" t="str">
        <f>HYPERLINK("https://knigipp.ru/api/getInfo/image/7395e62f-b83c-11ed-a230-00155d82e902")</f>
        <v>https://knigipp.ru/api/getInfo/image/7395e62f-b83c-11ed-a230-00155d82e902</v>
      </c>
      <c r="AA1675" s="33">
        <v>12</v>
      </c>
      <c r="AB1675" s="5"/>
      <c r="AC1675" s="5" t="s">
        <v>96</v>
      </c>
      <c r="AD1675" s="5"/>
      <c r="AE1675" s="5" t="s">
        <v>49</v>
      </c>
      <c r="AF1675" s="5"/>
      <c r="AG1675" s="5"/>
      <c r="AH1675" s="5" t="s">
        <v>6911</v>
      </c>
    </row>
    <row r="1676" spans="2:35" ht="22.95" customHeight="1" outlineLevel="3" x14ac:dyDescent="0.2">
      <c r="B1676" s="74" t="s">
        <v>6924</v>
      </c>
      <c r="C1676" s="74"/>
      <c r="D1676" s="74"/>
    </row>
    <row r="1677" spans="2:35" ht="21" customHeight="1" outlineLevel="4" x14ac:dyDescent="0.2">
      <c r="B1677" s="42">
        <v>1298</v>
      </c>
      <c r="C1677" s="5" t="s">
        <v>6925</v>
      </c>
      <c r="D1677" s="5" t="s">
        <v>6926</v>
      </c>
      <c r="E1677" s="6" t="s">
        <v>6927</v>
      </c>
      <c r="F1677" s="10"/>
      <c r="G1677" s="11" t="s">
        <v>6928</v>
      </c>
      <c r="H1677" s="12">
        <v>10</v>
      </c>
      <c r="I1677" s="13" t="s">
        <v>41</v>
      </c>
      <c r="J1677" s="13"/>
      <c r="K1677" s="13"/>
      <c r="L1677" s="4">
        <v>1</v>
      </c>
      <c r="M1677" s="14">
        <f>597*(1-P3/100)</f>
        <v>597</v>
      </c>
      <c r="N1677" s="15"/>
      <c r="O1677" s="13">
        <f>M1677*N1677</f>
        <v>0</v>
      </c>
      <c r="P1677" s="22">
        <f>0.312*N1677</f>
        <v>0</v>
      </c>
      <c r="Q1677" s="30">
        <f>0.0006*N1677</f>
        <v>0</v>
      </c>
      <c r="R1677" s="24"/>
      <c r="S1677" s="25" t="s">
        <v>6929</v>
      </c>
      <c r="T1677" s="25" t="s">
        <v>43</v>
      </c>
      <c r="U1677" s="5"/>
      <c r="V1677" s="5"/>
      <c r="W1677" s="5" t="s">
        <v>46</v>
      </c>
      <c r="X1677" s="5"/>
      <c r="Y1677" s="5"/>
      <c r="Z1677" s="5" t="str">
        <f>HYPERLINK("https://knigipp.ru/api/getInfo/image/e3b23deb-0e3b-11f0-a279-00155d82e908")</f>
        <v>https://knigipp.ru/api/getInfo/image/e3b23deb-0e3b-11f0-a279-00155d82e908</v>
      </c>
      <c r="AA1677" s="33">
        <v>100</v>
      </c>
      <c r="AB1677" s="5"/>
      <c r="AC1677" s="5" t="s">
        <v>219</v>
      </c>
      <c r="AD1677" s="5"/>
      <c r="AE1677" s="5" t="s">
        <v>49</v>
      </c>
      <c r="AF1677" s="5"/>
      <c r="AG1677" s="5"/>
      <c r="AH1677" s="5" t="s">
        <v>6930</v>
      </c>
    </row>
    <row r="1678" spans="2:35" ht="21" customHeight="1" outlineLevel="4" x14ac:dyDescent="0.2">
      <c r="B1678" s="42">
        <v>1299</v>
      </c>
      <c r="C1678" s="5" t="s">
        <v>6931</v>
      </c>
      <c r="D1678" s="5" t="s">
        <v>6932</v>
      </c>
      <c r="E1678" s="6" t="s">
        <v>6933</v>
      </c>
      <c r="F1678" s="10"/>
      <c r="G1678" s="11" t="s">
        <v>6928</v>
      </c>
      <c r="H1678" s="12">
        <v>10</v>
      </c>
      <c r="I1678" s="13" t="s">
        <v>41</v>
      </c>
      <c r="J1678" s="13"/>
      <c r="K1678" s="13"/>
      <c r="L1678" s="4">
        <v>1</v>
      </c>
      <c r="M1678" s="14">
        <f>597*(1-P3/100)</f>
        <v>597</v>
      </c>
      <c r="N1678" s="15"/>
      <c r="O1678" s="13">
        <f>M1678*N1678</f>
        <v>0</v>
      </c>
      <c r="P1678" s="22">
        <f>0.312*N1678</f>
        <v>0</v>
      </c>
      <c r="Q1678" s="23">
        <f>0.00061*N1678</f>
        <v>0</v>
      </c>
      <c r="R1678" s="24"/>
      <c r="S1678" s="25" t="s">
        <v>6934</v>
      </c>
      <c r="T1678" s="25" t="s">
        <v>43</v>
      </c>
      <c r="U1678" s="5"/>
      <c r="V1678" s="5"/>
      <c r="W1678" s="5" t="s">
        <v>46</v>
      </c>
      <c r="X1678" s="5"/>
      <c r="Y1678" s="5"/>
      <c r="Z1678" s="5" t="str">
        <f>HYPERLINK("https://knigipp.ru/api/getInfo/image/1fa559dd-0e3c-11f0-a279-00155d82e908")</f>
        <v>https://knigipp.ru/api/getInfo/image/1fa559dd-0e3c-11f0-a279-00155d82e908</v>
      </c>
      <c r="AA1678" s="33">
        <v>100</v>
      </c>
      <c r="AB1678" s="5"/>
      <c r="AC1678" s="5" t="s">
        <v>219</v>
      </c>
      <c r="AD1678" s="5"/>
      <c r="AE1678" s="5" t="s">
        <v>49</v>
      </c>
      <c r="AF1678" s="5"/>
      <c r="AG1678" s="5"/>
      <c r="AH1678" s="5" t="s">
        <v>6935</v>
      </c>
    </row>
    <row r="1679" spans="2:35" ht="22.95" customHeight="1" outlineLevel="3" x14ac:dyDescent="0.2">
      <c r="B1679" s="74" t="s">
        <v>6936</v>
      </c>
      <c r="C1679" s="74"/>
      <c r="D1679" s="74"/>
    </row>
    <row r="1680" spans="2:35" ht="21" customHeight="1" outlineLevel="4" x14ac:dyDescent="0.2">
      <c r="B1680" s="56">
        <v>1300</v>
      </c>
      <c r="C1680" s="40" t="s">
        <v>6937</v>
      </c>
      <c r="D1680" s="40" t="s">
        <v>6938</v>
      </c>
      <c r="E1680" s="41" t="s">
        <v>6939</v>
      </c>
      <c r="F1680" s="44"/>
      <c r="G1680" s="45" t="s">
        <v>6940</v>
      </c>
      <c r="H1680" s="46">
        <v>20</v>
      </c>
      <c r="I1680" s="47" t="s">
        <v>261</v>
      </c>
      <c r="J1680" s="47"/>
      <c r="K1680" s="47"/>
      <c r="L1680" s="39">
        <v>3</v>
      </c>
      <c r="M1680" s="57">
        <v>123.375</v>
      </c>
      <c r="N1680" s="15"/>
      <c r="O1680" s="47">
        <f>M1680*N1680</f>
        <v>0</v>
      </c>
      <c r="P1680" s="58">
        <f>0.321*N1680</f>
        <v>0</v>
      </c>
      <c r="Q1680" s="50">
        <f>0.00068*N1680</f>
        <v>0</v>
      </c>
      <c r="R1680" s="51"/>
      <c r="S1680" s="52" t="s">
        <v>6941</v>
      </c>
      <c r="T1680" s="52" t="s">
        <v>43</v>
      </c>
      <c r="U1680" s="40"/>
      <c r="V1680" s="40"/>
      <c r="W1680" s="40" t="s">
        <v>46</v>
      </c>
      <c r="X1680" s="40"/>
      <c r="Y1680" s="40"/>
      <c r="Z1680" s="40" t="str">
        <f>HYPERLINK("https://knigipp.ru/api/getInfo/image/8e1216d0-33cb-11eb-a25e-ac1f6b442184")</f>
        <v>https://knigipp.ru/api/getInfo/image/8e1216d0-33cb-11eb-a25e-ac1f6b442184</v>
      </c>
      <c r="AA1680" s="53">
        <v>80</v>
      </c>
      <c r="AB1680" s="40"/>
      <c r="AC1680" s="40" t="s">
        <v>48</v>
      </c>
      <c r="AD1680" s="40"/>
      <c r="AE1680" s="40" t="s">
        <v>49</v>
      </c>
      <c r="AF1680" s="40"/>
      <c r="AG1680" s="40"/>
      <c r="AH1680" s="40" t="s">
        <v>6942</v>
      </c>
      <c r="AI1680" s="54" t="s">
        <v>5299</v>
      </c>
    </row>
    <row r="1681" spans="2:34" ht="22.95" customHeight="1" outlineLevel="3" x14ac:dyDescent="0.2">
      <c r="B1681" s="74" t="s">
        <v>6943</v>
      </c>
      <c r="C1681" s="74"/>
      <c r="D1681" s="74"/>
    </row>
    <row r="1682" spans="2:34" ht="21" customHeight="1" outlineLevel="4" x14ac:dyDescent="0.2">
      <c r="B1682" s="42">
        <v>1301</v>
      </c>
      <c r="C1682" s="5" t="s">
        <v>6944</v>
      </c>
      <c r="D1682" s="5" t="s">
        <v>6945</v>
      </c>
      <c r="E1682" s="6" t="s">
        <v>6946</v>
      </c>
      <c r="F1682" s="10"/>
      <c r="G1682" s="11" t="s">
        <v>6947</v>
      </c>
      <c r="H1682" s="12">
        <v>30</v>
      </c>
      <c r="I1682" s="13" t="s">
        <v>41</v>
      </c>
      <c r="J1682" s="13"/>
      <c r="K1682" s="13"/>
      <c r="L1682" s="4">
        <v>5</v>
      </c>
      <c r="M1682" s="14">
        <f>137*(1-P3/100)</f>
        <v>137</v>
      </c>
      <c r="N1682" s="15"/>
      <c r="O1682" s="13">
        <f>M1682*N1682</f>
        <v>0</v>
      </c>
      <c r="P1682" s="22">
        <f>0.097*N1682</f>
        <v>0</v>
      </c>
      <c r="Q1682" s="23">
        <f>0.00019*N1682</f>
        <v>0</v>
      </c>
      <c r="R1682" s="24"/>
      <c r="S1682" s="25" t="s">
        <v>6948</v>
      </c>
      <c r="T1682" s="25" t="s">
        <v>43</v>
      </c>
      <c r="U1682" s="5"/>
      <c r="V1682" s="5" t="s">
        <v>6949</v>
      </c>
      <c r="W1682" s="5" t="s">
        <v>46</v>
      </c>
      <c r="X1682" s="5"/>
      <c r="Y1682" s="5"/>
      <c r="Z1682" s="5" t="str">
        <f>HYPERLINK("https://knigipp.ru/api/getInfo/image/0b948bef-edd7-11ee-a25b-00155d82e908")</f>
        <v>https://knigipp.ru/api/getInfo/image/0b948bef-edd7-11ee-a25b-00155d82e908</v>
      </c>
      <c r="AA1682" s="33">
        <v>48</v>
      </c>
      <c r="AB1682" s="5" t="s">
        <v>47</v>
      </c>
      <c r="AC1682" s="5" t="s">
        <v>96</v>
      </c>
      <c r="AD1682" s="5"/>
      <c r="AE1682" s="5" t="s">
        <v>49</v>
      </c>
      <c r="AF1682" s="5"/>
      <c r="AG1682" s="5"/>
      <c r="AH1682" s="5" t="s">
        <v>6950</v>
      </c>
    </row>
    <row r="1683" spans="2:34" ht="22.95" customHeight="1" outlineLevel="3" x14ac:dyDescent="0.2">
      <c r="B1683" s="74" t="s">
        <v>6951</v>
      </c>
      <c r="C1683" s="74"/>
      <c r="D1683" s="74"/>
    </row>
    <row r="1684" spans="2:34" ht="21" customHeight="1" outlineLevel="4" x14ac:dyDescent="0.2">
      <c r="B1684" s="42">
        <v>1302</v>
      </c>
      <c r="C1684" s="5" t="s">
        <v>6952</v>
      </c>
      <c r="D1684" s="5" t="s">
        <v>6953</v>
      </c>
      <c r="E1684" s="6" t="s">
        <v>6954</v>
      </c>
      <c r="F1684" s="10"/>
      <c r="G1684" s="11" t="s">
        <v>6955</v>
      </c>
      <c r="H1684" s="12">
        <v>25</v>
      </c>
      <c r="I1684" s="13" t="s">
        <v>41</v>
      </c>
      <c r="J1684" s="13"/>
      <c r="K1684" s="13"/>
      <c r="L1684" s="4">
        <v>4</v>
      </c>
      <c r="M1684" s="14">
        <f>149*(1-P3/100)</f>
        <v>149</v>
      </c>
      <c r="N1684" s="15"/>
      <c r="O1684" s="13">
        <f>M1684*N1684</f>
        <v>0</v>
      </c>
      <c r="P1684" s="13">
        <v>0</v>
      </c>
      <c r="Q1684" s="13">
        <v>0</v>
      </c>
      <c r="R1684" s="24"/>
      <c r="S1684" s="25" t="s">
        <v>6956</v>
      </c>
      <c r="T1684" s="25" t="s">
        <v>43</v>
      </c>
      <c r="U1684" s="5"/>
      <c r="V1684" s="5" t="s">
        <v>6957</v>
      </c>
      <c r="W1684" s="5" t="s">
        <v>46</v>
      </c>
      <c r="X1684" s="5"/>
      <c r="Y1684" s="5"/>
      <c r="Z1684" s="5" t="str">
        <f>HYPERLINK("https://knigipp.ru/api/getInfo/image/94708b3d-9281-11ee-a250-00155d82e908")</f>
        <v>https://knigipp.ru/api/getInfo/image/94708b3d-9281-11ee-a250-00155d82e908</v>
      </c>
      <c r="AA1684" s="33">
        <v>32</v>
      </c>
      <c r="AB1684" s="5" t="s">
        <v>47</v>
      </c>
      <c r="AC1684" s="5" t="s">
        <v>48</v>
      </c>
      <c r="AD1684" s="5"/>
      <c r="AE1684" s="5" t="s">
        <v>49</v>
      </c>
      <c r="AF1684" s="5"/>
      <c r="AG1684" s="5"/>
      <c r="AH1684" s="5" t="s">
        <v>6958</v>
      </c>
    </row>
    <row r="1685" spans="2:34" ht="21" customHeight="1" outlineLevel="4" x14ac:dyDescent="0.2">
      <c r="B1685" s="42">
        <v>1303</v>
      </c>
      <c r="C1685" s="5" t="s">
        <v>6959</v>
      </c>
      <c r="D1685" s="5" t="s">
        <v>6960</v>
      </c>
      <c r="E1685" s="6" t="s">
        <v>6961</v>
      </c>
      <c r="F1685" s="10"/>
      <c r="G1685" s="11" t="s">
        <v>6955</v>
      </c>
      <c r="H1685" s="12">
        <v>25</v>
      </c>
      <c r="I1685" s="13" t="s">
        <v>41</v>
      </c>
      <c r="J1685" s="13"/>
      <c r="K1685" s="13"/>
      <c r="L1685" s="4">
        <v>4</v>
      </c>
      <c r="M1685" s="14">
        <f>149*(1-P3/100)</f>
        <v>149</v>
      </c>
      <c r="N1685" s="15"/>
      <c r="O1685" s="13">
        <f>M1685*N1685</f>
        <v>0</v>
      </c>
      <c r="P1685" s="13">
        <v>0</v>
      </c>
      <c r="Q1685" s="13">
        <v>0</v>
      </c>
      <c r="R1685" s="24"/>
      <c r="S1685" s="25" t="s">
        <v>6962</v>
      </c>
      <c r="T1685" s="25" t="s">
        <v>43</v>
      </c>
      <c r="U1685" s="5"/>
      <c r="V1685" s="5" t="s">
        <v>6963</v>
      </c>
      <c r="W1685" s="5" t="s">
        <v>46</v>
      </c>
      <c r="X1685" s="5"/>
      <c r="Y1685" s="5"/>
      <c r="Z1685" s="5" t="str">
        <f>HYPERLINK("https://knigipp.ru/api/getInfo/image/e1a5a4d7-9281-11ee-a250-00155d82e908")</f>
        <v>https://knigipp.ru/api/getInfo/image/e1a5a4d7-9281-11ee-a250-00155d82e908</v>
      </c>
      <c r="AA1685" s="33">
        <v>32</v>
      </c>
      <c r="AB1685" s="5" t="s">
        <v>47</v>
      </c>
      <c r="AC1685" s="5" t="s">
        <v>48</v>
      </c>
      <c r="AD1685" s="5"/>
      <c r="AE1685" s="5" t="s">
        <v>49</v>
      </c>
      <c r="AF1685" s="5"/>
      <c r="AG1685" s="5"/>
      <c r="AH1685" s="5" t="s">
        <v>6958</v>
      </c>
    </row>
    <row r="1686" spans="2:34" ht="22.95" customHeight="1" outlineLevel="3" x14ac:dyDescent="0.2">
      <c r="B1686" s="74" t="s">
        <v>6964</v>
      </c>
      <c r="C1686" s="74"/>
      <c r="D1686" s="74"/>
    </row>
    <row r="1687" spans="2:34" ht="21" customHeight="1" outlineLevel="4" x14ac:dyDescent="0.2">
      <c r="B1687" s="42">
        <v>1304</v>
      </c>
      <c r="C1687" s="5" t="s">
        <v>6965</v>
      </c>
      <c r="D1687" s="5" t="s">
        <v>6966</v>
      </c>
      <c r="E1687" s="6" t="s">
        <v>6967</v>
      </c>
      <c r="F1687" s="10"/>
      <c r="G1687" s="11" t="s">
        <v>6968</v>
      </c>
      <c r="H1687" s="12">
        <v>50</v>
      </c>
      <c r="I1687" s="13" t="s">
        <v>261</v>
      </c>
      <c r="J1687" s="13"/>
      <c r="K1687" s="13"/>
      <c r="L1687" s="4">
        <v>12</v>
      </c>
      <c r="M1687" s="14">
        <f>51.5*(1-P3/100)</f>
        <v>51.5</v>
      </c>
      <c r="N1687" s="15"/>
      <c r="O1687" s="13">
        <f>M1687*N1687</f>
        <v>0</v>
      </c>
      <c r="P1687" s="22">
        <f>0.068*N1687</f>
        <v>0</v>
      </c>
      <c r="Q1687" s="23">
        <f>0.00011*N1687</f>
        <v>0</v>
      </c>
      <c r="R1687" s="24"/>
      <c r="S1687" s="25" t="s">
        <v>6969</v>
      </c>
      <c r="T1687" s="25" t="s">
        <v>43</v>
      </c>
      <c r="U1687" s="5"/>
      <c r="V1687" s="5"/>
      <c r="W1687" s="5" t="s">
        <v>46</v>
      </c>
      <c r="X1687" s="5"/>
      <c r="Y1687" s="5"/>
      <c r="Z1687" s="5" t="str">
        <f>HYPERLINK("https://knigipp.ru/api/getInfo/image/c26af1dd-0263-11eb-a255-ac1f6b442184")</f>
        <v>https://knigipp.ru/api/getInfo/image/c26af1dd-0263-11eb-a255-ac1f6b442184</v>
      </c>
      <c r="AA1687" s="33">
        <v>16</v>
      </c>
      <c r="AB1687" s="5"/>
      <c r="AC1687" s="5" t="s">
        <v>96</v>
      </c>
      <c r="AD1687" s="5"/>
      <c r="AE1687" s="5" t="s">
        <v>49</v>
      </c>
      <c r="AF1687" s="5"/>
      <c r="AG1687" s="5"/>
      <c r="AH1687" s="5" t="s">
        <v>472</v>
      </c>
    </row>
    <row r="1688" spans="2:34" ht="21" customHeight="1" outlineLevel="4" x14ac:dyDescent="0.2">
      <c r="B1688" s="42">
        <v>1305</v>
      </c>
      <c r="C1688" s="5" t="s">
        <v>6970</v>
      </c>
      <c r="D1688" s="5" t="s">
        <v>6971</v>
      </c>
      <c r="E1688" s="6" t="s">
        <v>6972</v>
      </c>
      <c r="F1688" s="10"/>
      <c r="G1688" s="11" t="s">
        <v>6973</v>
      </c>
      <c r="H1688" s="12">
        <v>50</v>
      </c>
      <c r="I1688" s="13" t="s">
        <v>371</v>
      </c>
      <c r="J1688" s="13"/>
      <c r="K1688" s="13"/>
      <c r="L1688" s="4">
        <v>12</v>
      </c>
      <c r="M1688" s="14">
        <f>51.5*(1-P3/100)</f>
        <v>51.5</v>
      </c>
      <c r="N1688" s="15"/>
      <c r="O1688" s="13">
        <f>M1688*N1688</f>
        <v>0</v>
      </c>
      <c r="P1688" s="22">
        <f>0.066*N1688</f>
        <v>0</v>
      </c>
      <c r="Q1688" s="23">
        <f>0.00034*N1688</f>
        <v>0</v>
      </c>
      <c r="R1688" s="24"/>
      <c r="S1688" s="25" t="s">
        <v>6974</v>
      </c>
      <c r="T1688" s="25" t="s">
        <v>43</v>
      </c>
      <c r="U1688" s="5"/>
      <c r="V1688" s="5"/>
      <c r="W1688" s="5" t="s">
        <v>46</v>
      </c>
      <c r="X1688" s="5"/>
      <c r="Y1688" s="5"/>
      <c r="Z1688" s="5" t="str">
        <f>HYPERLINK("https://knigipp.ru/api/getInfo/image/edec1ecf-6d0c-11ea-a244-ac1f6b442184")</f>
        <v>https://knigipp.ru/api/getInfo/image/edec1ecf-6d0c-11ea-a244-ac1f6b442184</v>
      </c>
      <c r="AA1688" s="33">
        <v>16</v>
      </c>
      <c r="AB1688" s="5"/>
      <c r="AC1688" s="5" t="s">
        <v>96</v>
      </c>
      <c r="AD1688" s="5"/>
      <c r="AE1688" s="5" t="s">
        <v>49</v>
      </c>
      <c r="AF1688" s="5"/>
      <c r="AG1688" s="5"/>
      <c r="AH1688" s="5" t="s">
        <v>472</v>
      </c>
    </row>
    <row r="1689" spans="2:34" ht="21" customHeight="1" outlineLevel="4" x14ac:dyDescent="0.2">
      <c r="B1689" s="42">
        <v>1306</v>
      </c>
      <c r="C1689" s="5" t="s">
        <v>6975</v>
      </c>
      <c r="D1689" s="5" t="s">
        <v>6976</v>
      </c>
      <c r="E1689" s="6" t="s">
        <v>6977</v>
      </c>
      <c r="F1689" s="10"/>
      <c r="G1689" s="11" t="s">
        <v>6973</v>
      </c>
      <c r="H1689" s="12">
        <v>50</v>
      </c>
      <c r="I1689" s="13" t="s">
        <v>261</v>
      </c>
      <c r="J1689" s="13"/>
      <c r="K1689" s="13"/>
      <c r="L1689" s="4">
        <v>12</v>
      </c>
      <c r="M1689" s="14">
        <f>51.5*(1-P3/100)</f>
        <v>51.5</v>
      </c>
      <c r="N1689" s="15"/>
      <c r="O1689" s="13">
        <f>M1689*N1689</f>
        <v>0</v>
      </c>
      <c r="P1689" s="22">
        <f>0.068*N1689</f>
        <v>0</v>
      </c>
      <c r="Q1689" s="23">
        <f>0.00011*N1689</f>
        <v>0</v>
      </c>
      <c r="R1689" s="24"/>
      <c r="S1689" s="25" t="s">
        <v>6978</v>
      </c>
      <c r="T1689" s="25" t="s">
        <v>43</v>
      </c>
      <c r="U1689" s="5"/>
      <c r="V1689" s="5"/>
      <c r="W1689" s="5" t="s">
        <v>46</v>
      </c>
      <c r="X1689" s="5"/>
      <c r="Y1689" s="5"/>
      <c r="Z1689" s="5" t="str">
        <f>HYPERLINK("https://knigipp.ru/api/getInfo/image/4d028e93-6d0d-11ea-a244-ac1f6b442184")</f>
        <v>https://knigipp.ru/api/getInfo/image/4d028e93-6d0d-11ea-a244-ac1f6b442184</v>
      </c>
      <c r="AA1689" s="33">
        <v>16</v>
      </c>
      <c r="AB1689" s="5"/>
      <c r="AC1689" s="5" t="s">
        <v>96</v>
      </c>
      <c r="AD1689" s="5"/>
      <c r="AE1689" s="5" t="s">
        <v>49</v>
      </c>
      <c r="AF1689" s="5"/>
      <c r="AG1689" s="5"/>
      <c r="AH1689" s="5" t="s">
        <v>472</v>
      </c>
    </row>
    <row r="1690" spans="2:34" ht="22.95" customHeight="1" outlineLevel="3" x14ac:dyDescent="0.2">
      <c r="B1690" s="74" t="s">
        <v>6979</v>
      </c>
      <c r="C1690" s="74"/>
      <c r="D1690" s="74"/>
    </row>
    <row r="1691" spans="2:34" ht="21" customHeight="1" outlineLevel="4" x14ac:dyDescent="0.2">
      <c r="B1691" s="42">
        <v>1307</v>
      </c>
      <c r="C1691" s="5" t="s">
        <v>6980</v>
      </c>
      <c r="D1691" s="5" t="s">
        <v>6981</v>
      </c>
      <c r="E1691" s="6" t="s">
        <v>6982</v>
      </c>
      <c r="F1691" s="10"/>
      <c r="G1691" s="11" t="s">
        <v>6983</v>
      </c>
      <c r="H1691" s="12">
        <v>50</v>
      </c>
      <c r="I1691" s="13" t="s">
        <v>41</v>
      </c>
      <c r="J1691" s="13"/>
      <c r="K1691" s="13"/>
      <c r="L1691" s="4">
        <v>10</v>
      </c>
      <c r="M1691" s="14">
        <f>69*(1-P3/100)</f>
        <v>69</v>
      </c>
      <c r="N1691" s="15"/>
      <c r="O1691" s="13">
        <f>M1691*N1691</f>
        <v>0</v>
      </c>
      <c r="P1691" s="22">
        <f>0.068*N1691</f>
        <v>0</v>
      </c>
      <c r="Q1691" s="23">
        <f>0.00045*N1691</f>
        <v>0</v>
      </c>
      <c r="R1691" s="24"/>
      <c r="S1691" s="25" t="s">
        <v>6984</v>
      </c>
      <c r="T1691" s="25" t="s">
        <v>43</v>
      </c>
      <c r="U1691" s="5"/>
      <c r="V1691" s="5" t="s">
        <v>6985</v>
      </c>
      <c r="W1691" s="5" t="s">
        <v>46</v>
      </c>
      <c r="X1691" s="5"/>
      <c r="Y1691" s="5"/>
      <c r="Z1691" s="5" t="str">
        <f>HYPERLINK("https://knigipp.ru/api/getInfo/image/746ec908-a3ea-11ee-a258-00155d82e908")</f>
        <v>https://knigipp.ru/api/getInfo/image/746ec908-a3ea-11ee-a258-00155d82e908</v>
      </c>
      <c r="AA1691" s="33">
        <v>16</v>
      </c>
      <c r="AB1691" s="5" t="s">
        <v>47</v>
      </c>
      <c r="AC1691" s="5" t="s">
        <v>96</v>
      </c>
      <c r="AD1691" s="5"/>
      <c r="AE1691" s="5" t="s">
        <v>49</v>
      </c>
      <c r="AF1691" s="5"/>
      <c r="AG1691" s="5"/>
      <c r="AH1691" s="5" t="s">
        <v>6986</v>
      </c>
    </row>
    <row r="1692" spans="2:34" ht="21" customHeight="1" outlineLevel="4" x14ac:dyDescent="0.2">
      <c r="B1692" s="42">
        <v>1308</v>
      </c>
      <c r="C1692" s="5" t="s">
        <v>6987</v>
      </c>
      <c r="D1692" s="5" t="s">
        <v>6988</v>
      </c>
      <c r="E1692" s="6" t="s">
        <v>6989</v>
      </c>
      <c r="F1692" s="10"/>
      <c r="G1692" s="11" t="s">
        <v>6983</v>
      </c>
      <c r="H1692" s="12">
        <v>50</v>
      </c>
      <c r="I1692" s="13" t="s">
        <v>41</v>
      </c>
      <c r="J1692" s="13"/>
      <c r="K1692" s="13"/>
      <c r="L1692" s="4">
        <v>10</v>
      </c>
      <c r="M1692" s="14">
        <f>69*(1-P3/100)</f>
        <v>69</v>
      </c>
      <c r="N1692" s="15"/>
      <c r="O1692" s="13">
        <f>M1692*N1692</f>
        <v>0</v>
      </c>
      <c r="P1692" s="13">
        <v>0</v>
      </c>
      <c r="Q1692" s="13">
        <v>0</v>
      </c>
      <c r="R1692" s="24"/>
      <c r="S1692" s="25" t="s">
        <v>6990</v>
      </c>
      <c r="T1692" s="25" t="s">
        <v>43</v>
      </c>
      <c r="U1692" s="5"/>
      <c r="V1692" s="5" t="s">
        <v>6991</v>
      </c>
      <c r="W1692" s="5" t="s">
        <v>46</v>
      </c>
      <c r="X1692" s="5"/>
      <c r="Y1692" s="5"/>
      <c r="Z1692" s="5" t="str">
        <f>HYPERLINK("https://knigipp.ru/api/getInfo/image/9ac68f23-a3ea-11ee-a258-00155d82e908")</f>
        <v>https://knigipp.ru/api/getInfo/image/9ac68f23-a3ea-11ee-a258-00155d82e908</v>
      </c>
      <c r="AA1692" s="33">
        <v>16</v>
      </c>
      <c r="AB1692" s="5" t="s">
        <v>47</v>
      </c>
      <c r="AC1692" s="5" t="s">
        <v>96</v>
      </c>
      <c r="AD1692" s="5"/>
      <c r="AE1692" s="5" t="s">
        <v>49</v>
      </c>
      <c r="AF1692" s="5"/>
      <c r="AG1692" s="5"/>
      <c r="AH1692" s="5" t="s">
        <v>6986</v>
      </c>
    </row>
    <row r="1693" spans="2:34" ht="21" customHeight="1" outlineLevel="4" x14ac:dyDescent="0.2">
      <c r="B1693" s="42">
        <v>1309</v>
      </c>
      <c r="C1693" s="5" t="s">
        <v>6992</v>
      </c>
      <c r="D1693" s="5" t="s">
        <v>6993</v>
      </c>
      <c r="E1693" s="6" t="s">
        <v>6994</v>
      </c>
      <c r="F1693" s="10"/>
      <c r="G1693" s="11" t="s">
        <v>6983</v>
      </c>
      <c r="H1693" s="12">
        <v>50</v>
      </c>
      <c r="I1693" s="13" t="s">
        <v>41</v>
      </c>
      <c r="J1693" s="13"/>
      <c r="K1693" s="13"/>
      <c r="L1693" s="4">
        <v>10</v>
      </c>
      <c r="M1693" s="14">
        <f>69*(1-P3/100)</f>
        <v>69</v>
      </c>
      <c r="N1693" s="15"/>
      <c r="O1693" s="13">
        <f>M1693*N1693</f>
        <v>0</v>
      </c>
      <c r="P1693" s="13">
        <v>0</v>
      </c>
      <c r="Q1693" s="13">
        <v>0</v>
      </c>
      <c r="R1693" s="24"/>
      <c r="S1693" s="25" t="s">
        <v>6995</v>
      </c>
      <c r="T1693" s="25" t="s">
        <v>43</v>
      </c>
      <c r="U1693" s="5"/>
      <c r="V1693" s="5" t="s">
        <v>6996</v>
      </c>
      <c r="W1693" s="5" t="s">
        <v>46</v>
      </c>
      <c r="X1693" s="5"/>
      <c r="Y1693" s="5"/>
      <c r="Z1693" s="5" t="str">
        <f>HYPERLINK("https://knigipp.ru/api/getInfo/image/d21ff5ab-a3ea-11ee-a258-00155d82e908")</f>
        <v>https://knigipp.ru/api/getInfo/image/d21ff5ab-a3ea-11ee-a258-00155d82e908</v>
      </c>
      <c r="AA1693" s="33">
        <v>16</v>
      </c>
      <c r="AB1693" s="5" t="s">
        <v>47</v>
      </c>
      <c r="AC1693" s="5" t="s">
        <v>96</v>
      </c>
      <c r="AD1693" s="5"/>
      <c r="AE1693" s="5" t="s">
        <v>49</v>
      </c>
      <c r="AF1693" s="5"/>
      <c r="AG1693" s="5"/>
      <c r="AH1693" s="5" t="s">
        <v>6986</v>
      </c>
    </row>
    <row r="1694" spans="2:34" ht="21" customHeight="1" outlineLevel="4" x14ac:dyDescent="0.2">
      <c r="B1694" s="42">
        <v>1310</v>
      </c>
      <c r="C1694" s="5" t="s">
        <v>6997</v>
      </c>
      <c r="D1694" s="5" t="s">
        <v>6998</v>
      </c>
      <c r="E1694" s="6" t="s">
        <v>6999</v>
      </c>
      <c r="F1694" s="10"/>
      <c r="G1694" s="11" t="s">
        <v>6983</v>
      </c>
      <c r="H1694" s="12">
        <v>50</v>
      </c>
      <c r="I1694" s="13" t="s">
        <v>41</v>
      </c>
      <c r="J1694" s="13"/>
      <c r="K1694" s="13"/>
      <c r="L1694" s="4">
        <v>10</v>
      </c>
      <c r="M1694" s="14">
        <f>69*(1-P3/100)</f>
        <v>69</v>
      </c>
      <c r="N1694" s="15"/>
      <c r="O1694" s="13">
        <f>M1694*N1694</f>
        <v>0</v>
      </c>
      <c r="P1694" s="13">
        <v>0</v>
      </c>
      <c r="Q1694" s="13">
        <v>0</v>
      </c>
      <c r="R1694" s="24"/>
      <c r="S1694" s="25" t="s">
        <v>7000</v>
      </c>
      <c r="T1694" s="25" t="s">
        <v>43</v>
      </c>
      <c r="U1694" s="5"/>
      <c r="V1694" s="5" t="s">
        <v>7001</v>
      </c>
      <c r="W1694" s="5" t="s">
        <v>46</v>
      </c>
      <c r="X1694" s="5"/>
      <c r="Y1694" s="5"/>
      <c r="Z1694" s="5" t="str">
        <f>HYPERLINK("https://knigipp.ru/api/getInfo/image/f1d8998a-a3ea-11ee-a258-00155d82e908")</f>
        <v>https://knigipp.ru/api/getInfo/image/f1d8998a-a3ea-11ee-a258-00155d82e908</v>
      </c>
      <c r="AA1694" s="33">
        <v>16</v>
      </c>
      <c r="AB1694" s="5" t="s">
        <v>47</v>
      </c>
      <c r="AC1694" s="5" t="s">
        <v>96</v>
      </c>
      <c r="AD1694" s="5"/>
      <c r="AE1694" s="5" t="s">
        <v>49</v>
      </c>
      <c r="AF1694" s="5"/>
      <c r="AG1694" s="5"/>
      <c r="AH1694" s="5" t="s">
        <v>6986</v>
      </c>
    </row>
    <row r="1695" spans="2:34" ht="22.95" customHeight="1" outlineLevel="3" x14ac:dyDescent="0.2">
      <c r="B1695" s="74" t="s">
        <v>7002</v>
      </c>
      <c r="C1695" s="74"/>
      <c r="D1695" s="74"/>
    </row>
    <row r="1696" spans="2:34" ht="21" customHeight="1" outlineLevel="4" x14ac:dyDescent="0.2">
      <c r="B1696" s="42">
        <v>1311</v>
      </c>
      <c r="C1696" s="5" t="s">
        <v>7003</v>
      </c>
      <c r="D1696" s="5" t="s">
        <v>7004</v>
      </c>
      <c r="E1696" s="6" t="s">
        <v>7005</v>
      </c>
      <c r="F1696" s="10"/>
      <c r="G1696" s="11" t="s">
        <v>7006</v>
      </c>
      <c r="H1696" s="12">
        <v>50</v>
      </c>
      <c r="I1696" s="13" t="s">
        <v>41</v>
      </c>
      <c r="J1696" s="13"/>
      <c r="K1696" s="13"/>
      <c r="L1696" s="4">
        <v>10</v>
      </c>
      <c r="M1696" s="14">
        <f>67*(1-P3/100)</f>
        <v>67</v>
      </c>
      <c r="N1696" s="15"/>
      <c r="O1696" s="13">
        <f>M1696*N1696</f>
        <v>0</v>
      </c>
      <c r="P1696" s="22">
        <f>0.047*N1696</f>
        <v>0</v>
      </c>
      <c r="Q1696" s="23">
        <f>0.00018*N1696</f>
        <v>0</v>
      </c>
      <c r="R1696" s="24"/>
      <c r="S1696" s="25" t="s">
        <v>7007</v>
      </c>
      <c r="T1696" s="25" t="s">
        <v>43</v>
      </c>
      <c r="U1696" s="5"/>
      <c r="V1696" s="5" t="s">
        <v>7008</v>
      </c>
      <c r="W1696" s="5"/>
      <c r="X1696" s="5"/>
      <c r="Y1696" s="5"/>
      <c r="Z1696" s="5" t="str">
        <f>HYPERLINK("https://knigipp.ru/api/getInfo/image/bde5667b-354f-11ef-a261-00155d82e908")</f>
        <v>https://knigipp.ru/api/getInfo/image/bde5667b-354f-11ef-a261-00155d82e908</v>
      </c>
      <c r="AA1696" s="33">
        <v>24</v>
      </c>
      <c r="AB1696" s="5" t="s">
        <v>47</v>
      </c>
      <c r="AC1696" s="5" t="s">
        <v>96</v>
      </c>
      <c r="AD1696" s="5"/>
      <c r="AE1696" s="5" t="s">
        <v>49</v>
      </c>
      <c r="AF1696" s="5"/>
      <c r="AG1696" s="5"/>
      <c r="AH1696" s="5" t="s">
        <v>7009</v>
      </c>
    </row>
    <row r="1697" spans="2:34" ht="21" customHeight="1" outlineLevel="4" x14ac:dyDescent="0.2">
      <c r="B1697" s="42">
        <v>1312</v>
      </c>
      <c r="C1697" s="5" t="s">
        <v>7010</v>
      </c>
      <c r="D1697" s="5" t="s">
        <v>7011</v>
      </c>
      <c r="E1697" s="6" t="s">
        <v>7012</v>
      </c>
      <c r="F1697" s="10"/>
      <c r="G1697" s="11" t="s">
        <v>7006</v>
      </c>
      <c r="H1697" s="12">
        <v>50</v>
      </c>
      <c r="I1697" s="13" t="s">
        <v>41</v>
      </c>
      <c r="J1697" s="13"/>
      <c r="K1697" s="13"/>
      <c r="L1697" s="4">
        <v>10</v>
      </c>
      <c r="M1697" s="14">
        <f>67*(1-P3/100)</f>
        <v>67</v>
      </c>
      <c r="N1697" s="15"/>
      <c r="O1697" s="13">
        <f>M1697*N1697</f>
        <v>0</v>
      </c>
      <c r="P1697" s="22">
        <f>0.046*N1697</f>
        <v>0</v>
      </c>
      <c r="Q1697" s="23">
        <f>0.00013*N1697</f>
        <v>0</v>
      </c>
      <c r="R1697" s="24"/>
      <c r="S1697" s="25" t="s">
        <v>7013</v>
      </c>
      <c r="T1697" s="25" t="s">
        <v>43</v>
      </c>
      <c r="U1697" s="5"/>
      <c r="V1697" s="5" t="s">
        <v>7014</v>
      </c>
      <c r="W1697" s="5"/>
      <c r="X1697" s="5"/>
      <c r="Y1697" s="5"/>
      <c r="Z1697" s="5" t="str">
        <f>HYPERLINK("https://knigipp.ru/api/getInfo/image/de107ba3-354f-11ef-a261-00155d82e908")</f>
        <v>https://knigipp.ru/api/getInfo/image/de107ba3-354f-11ef-a261-00155d82e908</v>
      </c>
      <c r="AA1697" s="33">
        <v>24</v>
      </c>
      <c r="AB1697" s="5" t="s">
        <v>47</v>
      </c>
      <c r="AC1697" s="5" t="s">
        <v>96</v>
      </c>
      <c r="AD1697" s="5"/>
      <c r="AE1697" s="5" t="s">
        <v>49</v>
      </c>
      <c r="AF1697" s="5"/>
      <c r="AG1697" s="5"/>
      <c r="AH1697" s="5" t="s">
        <v>7009</v>
      </c>
    </row>
    <row r="1698" spans="2:34" ht="21" customHeight="1" outlineLevel="4" x14ac:dyDescent="0.2">
      <c r="B1698" s="42">
        <v>1313</v>
      </c>
      <c r="C1698" s="5" t="s">
        <v>7015</v>
      </c>
      <c r="D1698" s="5" t="s">
        <v>7016</v>
      </c>
      <c r="E1698" s="6" t="s">
        <v>7017</v>
      </c>
      <c r="F1698" s="10"/>
      <c r="G1698" s="11" t="s">
        <v>7006</v>
      </c>
      <c r="H1698" s="12">
        <v>50</v>
      </c>
      <c r="I1698" s="13" t="s">
        <v>41</v>
      </c>
      <c r="J1698" s="13"/>
      <c r="K1698" s="13"/>
      <c r="L1698" s="4">
        <v>10</v>
      </c>
      <c r="M1698" s="14">
        <f>67*(1-P3/100)</f>
        <v>67</v>
      </c>
      <c r="N1698" s="15"/>
      <c r="O1698" s="13">
        <f>M1698*N1698</f>
        <v>0</v>
      </c>
      <c r="P1698" s="22">
        <f>0.051*N1698</f>
        <v>0</v>
      </c>
      <c r="Q1698" s="23">
        <f>0.00025*N1698</f>
        <v>0</v>
      </c>
      <c r="R1698" s="24"/>
      <c r="S1698" s="25" t="s">
        <v>7018</v>
      </c>
      <c r="T1698" s="25" t="s">
        <v>43</v>
      </c>
      <c r="U1698" s="5"/>
      <c r="V1698" s="5" t="s">
        <v>7019</v>
      </c>
      <c r="W1698" s="5" t="s">
        <v>46</v>
      </c>
      <c r="X1698" s="5"/>
      <c r="Y1698" s="5"/>
      <c r="Z1698" s="5" t="str">
        <f>HYPERLINK("https://knigipp.ru/api/getInfo/image/fd675f31-354f-11ef-a261-00155d82e908")</f>
        <v>https://knigipp.ru/api/getInfo/image/fd675f31-354f-11ef-a261-00155d82e908</v>
      </c>
      <c r="AA1698" s="33">
        <v>24</v>
      </c>
      <c r="AB1698" s="5" t="s">
        <v>47</v>
      </c>
      <c r="AC1698" s="5" t="s">
        <v>96</v>
      </c>
      <c r="AD1698" s="5"/>
      <c r="AE1698" s="5" t="s">
        <v>49</v>
      </c>
      <c r="AF1698" s="5"/>
      <c r="AG1698" s="5"/>
      <c r="AH1698" s="5" t="s">
        <v>7009</v>
      </c>
    </row>
    <row r="1699" spans="2:34" ht="21" customHeight="1" outlineLevel="4" x14ac:dyDescent="0.2">
      <c r="B1699" s="42">
        <v>1314</v>
      </c>
      <c r="C1699" s="5" t="s">
        <v>7020</v>
      </c>
      <c r="D1699" s="5" t="s">
        <v>7021</v>
      </c>
      <c r="E1699" s="6" t="s">
        <v>7022</v>
      </c>
      <c r="F1699" s="10"/>
      <c r="G1699" s="11" t="s">
        <v>7006</v>
      </c>
      <c r="H1699" s="12">
        <v>50</v>
      </c>
      <c r="I1699" s="13" t="s">
        <v>41</v>
      </c>
      <c r="J1699" s="13"/>
      <c r="K1699" s="13"/>
      <c r="L1699" s="4">
        <v>10</v>
      </c>
      <c r="M1699" s="14">
        <f>67*(1-P3/100)</f>
        <v>67</v>
      </c>
      <c r="N1699" s="15"/>
      <c r="O1699" s="13">
        <f>M1699*N1699</f>
        <v>0</v>
      </c>
      <c r="P1699" s="22">
        <f>0.048*N1699</f>
        <v>0</v>
      </c>
      <c r="Q1699" s="23">
        <f>0.00019*N1699</f>
        <v>0</v>
      </c>
      <c r="R1699" s="24"/>
      <c r="S1699" s="25" t="s">
        <v>7023</v>
      </c>
      <c r="T1699" s="25" t="s">
        <v>43</v>
      </c>
      <c r="U1699" s="5"/>
      <c r="V1699" s="5" t="s">
        <v>7024</v>
      </c>
      <c r="W1699" s="5" t="s">
        <v>46</v>
      </c>
      <c r="X1699" s="5"/>
      <c r="Y1699" s="5"/>
      <c r="Z1699" s="5" t="str">
        <f>HYPERLINK("https://knigipp.ru/api/getInfo/image/1eff3d42-3550-11ef-a261-00155d82e908")</f>
        <v>https://knigipp.ru/api/getInfo/image/1eff3d42-3550-11ef-a261-00155d82e908</v>
      </c>
      <c r="AA1699" s="33">
        <v>24</v>
      </c>
      <c r="AB1699" s="5" t="s">
        <v>47</v>
      </c>
      <c r="AC1699" s="5" t="s">
        <v>96</v>
      </c>
      <c r="AD1699" s="5"/>
      <c r="AE1699" s="5" t="s">
        <v>49</v>
      </c>
      <c r="AF1699" s="5"/>
      <c r="AG1699" s="5"/>
      <c r="AH1699" s="5" t="s">
        <v>7009</v>
      </c>
    </row>
    <row r="1700" spans="2:34" ht="22.95" customHeight="1" outlineLevel="3" x14ac:dyDescent="0.2">
      <c r="B1700" s="74" t="s">
        <v>7025</v>
      </c>
      <c r="C1700" s="74"/>
      <c r="D1700" s="74"/>
    </row>
    <row r="1701" spans="2:34" ht="21" customHeight="1" outlineLevel="4" x14ac:dyDescent="0.2">
      <c r="B1701" s="42">
        <v>1315</v>
      </c>
      <c r="C1701" s="5" t="s">
        <v>7026</v>
      </c>
      <c r="D1701" s="5" t="s">
        <v>7027</v>
      </c>
      <c r="E1701" s="6" t="s">
        <v>7028</v>
      </c>
      <c r="F1701" s="10"/>
      <c r="G1701" s="11" t="s">
        <v>7029</v>
      </c>
      <c r="H1701" s="12">
        <v>20</v>
      </c>
      <c r="I1701" s="13" t="s">
        <v>41</v>
      </c>
      <c r="J1701" s="13"/>
      <c r="K1701" s="13"/>
      <c r="L1701" s="4">
        <v>2</v>
      </c>
      <c r="M1701" s="14">
        <f>297*(1-P3/100)</f>
        <v>297</v>
      </c>
      <c r="N1701" s="15"/>
      <c r="O1701" s="13">
        <f>M1701*N1701</f>
        <v>0</v>
      </c>
      <c r="P1701" s="32">
        <f>0.19*N1701</f>
        <v>0</v>
      </c>
      <c r="Q1701" s="23">
        <f>0.00047*N1701</f>
        <v>0</v>
      </c>
      <c r="R1701" s="24"/>
      <c r="S1701" s="25" t="s">
        <v>7030</v>
      </c>
      <c r="T1701" s="25" t="s">
        <v>43</v>
      </c>
      <c r="U1701" s="5" t="s">
        <v>7031</v>
      </c>
      <c r="V1701" s="5" t="s">
        <v>7032</v>
      </c>
      <c r="W1701" s="5" t="s">
        <v>2731</v>
      </c>
      <c r="X1701" s="5"/>
      <c r="Y1701" s="5"/>
      <c r="Z1701" s="5" t="str">
        <f>HYPERLINK("https://knigipp.ru/api/getInfo/image/20b0f9bd-563a-11f0-a27f-00155d82e908")</f>
        <v>https://knigipp.ru/api/getInfo/image/20b0f9bd-563a-11f0-a27f-00155d82e908</v>
      </c>
      <c r="AA1701" s="33">
        <v>64</v>
      </c>
      <c r="AB1701" s="5" t="s">
        <v>598</v>
      </c>
      <c r="AC1701" s="5" t="s">
        <v>48</v>
      </c>
      <c r="AD1701" s="5"/>
      <c r="AE1701" s="5" t="s">
        <v>49</v>
      </c>
      <c r="AF1701" s="5"/>
      <c r="AG1701" s="5"/>
      <c r="AH1701" s="5" t="s">
        <v>7033</v>
      </c>
    </row>
    <row r="1702" spans="2:34" ht="21" customHeight="1" outlineLevel="4" x14ac:dyDescent="0.2">
      <c r="B1702" s="42">
        <v>1316</v>
      </c>
      <c r="C1702" s="5" t="s">
        <v>7034</v>
      </c>
      <c r="D1702" s="5" t="s">
        <v>7035</v>
      </c>
      <c r="E1702" s="6" t="s">
        <v>7036</v>
      </c>
      <c r="F1702" s="10"/>
      <c r="G1702" s="11" t="s">
        <v>7037</v>
      </c>
      <c r="H1702" s="12">
        <v>20</v>
      </c>
      <c r="I1702" s="13" t="s">
        <v>41</v>
      </c>
      <c r="J1702" s="13"/>
      <c r="K1702" s="13"/>
      <c r="L1702" s="4">
        <v>2</v>
      </c>
      <c r="M1702" s="14">
        <f>297*(1-P3/100)</f>
        <v>297</v>
      </c>
      <c r="N1702" s="15"/>
      <c r="O1702" s="13">
        <f>M1702*N1702</f>
        <v>0</v>
      </c>
      <c r="P1702" s="22">
        <f>0.193*N1702</f>
        <v>0</v>
      </c>
      <c r="Q1702" s="23">
        <f>0.00016*N1702</f>
        <v>0</v>
      </c>
      <c r="R1702" s="24"/>
      <c r="S1702" s="25" t="s">
        <v>7038</v>
      </c>
      <c r="T1702" s="25" t="s">
        <v>43</v>
      </c>
      <c r="U1702" s="5" t="s">
        <v>7039</v>
      </c>
      <c r="V1702" s="5" t="s">
        <v>7040</v>
      </c>
      <c r="W1702" s="5" t="s">
        <v>2731</v>
      </c>
      <c r="X1702" s="5"/>
      <c r="Y1702" s="5"/>
      <c r="Z1702" s="5" t="str">
        <f>HYPERLINK("https://knigipp.ru/api/getInfo/image/75433be6-6e15-11f0-a284-00155d82e908")</f>
        <v>https://knigipp.ru/api/getInfo/image/75433be6-6e15-11f0-a284-00155d82e908</v>
      </c>
      <c r="AA1702" s="33">
        <v>64</v>
      </c>
      <c r="AB1702" s="5" t="s">
        <v>598</v>
      </c>
      <c r="AC1702" s="5" t="s">
        <v>48</v>
      </c>
      <c r="AD1702" s="5"/>
      <c r="AE1702" s="5" t="s">
        <v>49</v>
      </c>
      <c r="AF1702" s="5"/>
      <c r="AG1702" s="5"/>
      <c r="AH1702" s="5" t="s">
        <v>7033</v>
      </c>
    </row>
    <row r="1703" spans="2:34" ht="21" customHeight="1" outlineLevel="4" x14ac:dyDescent="0.2">
      <c r="B1703" s="42">
        <v>1317</v>
      </c>
      <c r="C1703" s="5" t="s">
        <v>7041</v>
      </c>
      <c r="D1703" s="5" t="s">
        <v>7042</v>
      </c>
      <c r="E1703" s="6" t="s">
        <v>7043</v>
      </c>
      <c r="F1703" s="10"/>
      <c r="G1703" s="11" t="s">
        <v>7044</v>
      </c>
      <c r="H1703" s="12">
        <v>20</v>
      </c>
      <c r="I1703" s="13" t="s">
        <v>41</v>
      </c>
      <c r="J1703" s="13"/>
      <c r="K1703" s="13"/>
      <c r="L1703" s="4">
        <v>2</v>
      </c>
      <c r="M1703" s="14">
        <f>297*(1-P3/100)</f>
        <v>297</v>
      </c>
      <c r="N1703" s="15"/>
      <c r="O1703" s="13">
        <f>M1703*N1703</f>
        <v>0</v>
      </c>
      <c r="P1703" s="22">
        <f>0.192*N1703</f>
        <v>0</v>
      </c>
      <c r="Q1703" s="23">
        <f>0.00089*N1703</f>
        <v>0</v>
      </c>
      <c r="R1703" s="24"/>
      <c r="S1703" s="25" t="s">
        <v>7045</v>
      </c>
      <c r="T1703" s="25" t="s">
        <v>43</v>
      </c>
      <c r="U1703" s="5" t="s">
        <v>7039</v>
      </c>
      <c r="V1703" s="5" t="s">
        <v>7046</v>
      </c>
      <c r="W1703" s="5" t="s">
        <v>46</v>
      </c>
      <c r="X1703" s="5"/>
      <c r="Y1703" s="5"/>
      <c r="Z1703" s="5" t="str">
        <f>HYPERLINK("https://knigipp.ru/api/getInfo/image/560db806-f5c8-11ef-a274-00155d82e908")</f>
        <v>https://knigipp.ru/api/getInfo/image/560db806-f5c8-11ef-a274-00155d82e908</v>
      </c>
      <c r="AA1703" s="33">
        <v>64</v>
      </c>
      <c r="AB1703" s="5" t="s">
        <v>598</v>
      </c>
      <c r="AC1703" s="5" t="s">
        <v>48</v>
      </c>
      <c r="AD1703" s="5"/>
      <c r="AE1703" s="5" t="s">
        <v>49</v>
      </c>
      <c r="AF1703" s="5"/>
      <c r="AG1703" s="5"/>
      <c r="AH1703" s="5" t="s">
        <v>7033</v>
      </c>
    </row>
    <row r="1704" spans="2:34" ht="21" customHeight="1" outlineLevel="4" x14ac:dyDescent="0.2">
      <c r="B1704" s="42">
        <v>1318</v>
      </c>
      <c r="C1704" s="5" t="s">
        <v>7047</v>
      </c>
      <c r="D1704" s="5" t="s">
        <v>7048</v>
      </c>
      <c r="E1704" s="6" t="s">
        <v>7049</v>
      </c>
      <c r="F1704" s="10"/>
      <c r="G1704" s="11" t="s">
        <v>7044</v>
      </c>
      <c r="H1704" s="12">
        <v>20</v>
      </c>
      <c r="I1704" s="13" t="s">
        <v>41</v>
      </c>
      <c r="J1704" s="13"/>
      <c r="K1704" s="13"/>
      <c r="L1704" s="4">
        <v>2</v>
      </c>
      <c r="M1704" s="14">
        <f>297*(1-P3/100)</f>
        <v>297</v>
      </c>
      <c r="N1704" s="15"/>
      <c r="O1704" s="13">
        <f>M1704*N1704</f>
        <v>0</v>
      </c>
      <c r="P1704" s="22">
        <f>0.192*N1704</f>
        <v>0</v>
      </c>
      <c r="Q1704" s="23">
        <f>0.00037*N1704</f>
        <v>0</v>
      </c>
      <c r="R1704" s="24"/>
      <c r="S1704" s="25" t="s">
        <v>7050</v>
      </c>
      <c r="T1704" s="25" t="s">
        <v>43</v>
      </c>
      <c r="U1704" s="5" t="s">
        <v>7031</v>
      </c>
      <c r="V1704" s="5" t="s">
        <v>7051</v>
      </c>
      <c r="W1704" s="5" t="s">
        <v>46</v>
      </c>
      <c r="X1704" s="5"/>
      <c r="Y1704" s="5"/>
      <c r="Z1704" s="5" t="str">
        <f>HYPERLINK("https://knigipp.ru/api/getInfo/image/278b0e88-f5c8-11ef-a274-00155d82e908")</f>
        <v>https://knigipp.ru/api/getInfo/image/278b0e88-f5c8-11ef-a274-00155d82e908</v>
      </c>
      <c r="AA1704" s="33">
        <v>64</v>
      </c>
      <c r="AB1704" s="5" t="s">
        <v>598</v>
      </c>
      <c r="AC1704" s="5" t="s">
        <v>48</v>
      </c>
      <c r="AD1704" s="5"/>
      <c r="AE1704" s="5" t="s">
        <v>49</v>
      </c>
      <c r="AF1704" s="5"/>
      <c r="AG1704" s="5"/>
      <c r="AH1704" s="5" t="s">
        <v>7033</v>
      </c>
    </row>
    <row r="1705" spans="2:34" ht="22.95" customHeight="1" outlineLevel="3" x14ac:dyDescent="0.2">
      <c r="B1705" s="74" t="s">
        <v>7052</v>
      </c>
      <c r="C1705" s="74"/>
      <c r="D1705" s="74"/>
    </row>
    <row r="1706" spans="2:34" ht="21" customHeight="1" outlineLevel="4" x14ac:dyDescent="0.2">
      <c r="B1706" s="42">
        <v>1319</v>
      </c>
      <c r="C1706" s="5" t="s">
        <v>7053</v>
      </c>
      <c r="D1706" s="5" t="s">
        <v>7054</v>
      </c>
      <c r="E1706" s="6" t="s">
        <v>7055</v>
      </c>
      <c r="F1706" s="10"/>
      <c r="G1706" s="11" t="s">
        <v>7056</v>
      </c>
      <c r="H1706" s="12">
        <v>50</v>
      </c>
      <c r="I1706" s="13" t="s">
        <v>371</v>
      </c>
      <c r="J1706" s="13"/>
      <c r="K1706" s="13"/>
      <c r="L1706" s="4">
        <v>4</v>
      </c>
      <c r="M1706" s="14">
        <f>177*(1-P3/100)</f>
        <v>177</v>
      </c>
      <c r="N1706" s="15"/>
      <c r="O1706" s="13">
        <f>M1706*N1706</f>
        <v>0</v>
      </c>
      <c r="P1706" s="22">
        <f>0.108*N1706</f>
        <v>0</v>
      </c>
      <c r="Q1706" s="23">
        <f>0.00039*N1706</f>
        <v>0</v>
      </c>
      <c r="R1706" s="24"/>
      <c r="S1706" s="25" t="s">
        <v>7057</v>
      </c>
      <c r="T1706" s="25" t="s">
        <v>43</v>
      </c>
      <c r="U1706" s="5"/>
      <c r="V1706" s="5" t="s">
        <v>7058</v>
      </c>
      <c r="W1706" s="5" t="s">
        <v>46</v>
      </c>
      <c r="X1706" s="5"/>
      <c r="Y1706" s="5"/>
      <c r="Z1706" s="5" t="str">
        <f>HYPERLINK("https://knigipp.ru/api/getInfo/image/ec9a8561-66d2-11ef-a265-00155d82e908")</f>
        <v>https://knigipp.ru/api/getInfo/image/ec9a8561-66d2-11ef-a265-00155d82e908</v>
      </c>
      <c r="AA1706" s="33">
        <v>24</v>
      </c>
      <c r="AB1706" s="5"/>
      <c r="AC1706" s="5" t="s">
        <v>96</v>
      </c>
      <c r="AD1706" s="5"/>
      <c r="AE1706" s="5" t="s">
        <v>49</v>
      </c>
      <c r="AF1706" s="5"/>
      <c r="AG1706" s="5"/>
      <c r="AH1706" s="5" t="s">
        <v>7059</v>
      </c>
    </row>
    <row r="1707" spans="2:34" ht="21" customHeight="1" outlineLevel="4" x14ac:dyDescent="0.2">
      <c r="B1707" s="42">
        <v>1320</v>
      </c>
      <c r="C1707" s="5" t="s">
        <v>7060</v>
      </c>
      <c r="D1707" s="5" t="s">
        <v>7061</v>
      </c>
      <c r="E1707" s="6" t="s">
        <v>7062</v>
      </c>
      <c r="F1707" s="10"/>
      <c r="G1707" s="11" t="s">
        <v>7056</v>
      </c>
      <c r="H1707" s="12">
        <v>50</v>
      </c>
      <c r="I1707" s="13" t="s">
        <v>371</v>
      </c>
      <c r="J1707" s="13"/>
      <c r="K1707" s="13"/>
      <c r="L1707" s="4">
        <v>4</v>
      </c>
      <c r="M1707" s="14">
        <f>177*(1-P3/100)</f>
        <v>177</v>
      </c>
      <c r="N1707" s="15"/>
      <c r="O1707" s="13">
        <f>M1707*N1707</f>
        <v>0</v>
      </c>
      <c r="P1707" s="22">
        <f>0.108*N1707</f>
        <v>0</v>
      </c>
      <c r="Q1707" s="23">
        <f>0.00039*N1707</f>
        <v>0</v>
      </c>
      <c r="R1707" s="24"/>
      <c r="S1707" s="25" t="s">
        <v>7063</v>
      </c>
      <c r="T1707" s="25" t="s">
        <v>43</v>
      </c>
      <c r="U1707" s="5"/>
      <c r="V1707" s="5" t="s">
        <v>7058</v>
      </c>
      <c r="W1707" s="5" t="s">
        <v>46</v>
      </c>
      <c r="X1707" s="5"/>
      <c r="Y1707" s="5"/>
      <c r="Z1707" s="5" t="str">
        <f>HYPERLINK("https://knigipp.ru/api/getInfo/image/235d786a-66d3-11ef-a265-00155d82e908")</f>
        <v>https://knigipp.ru/api/getInfo/image/235d786a-66d3-11ef-a265-00155d82e908</v>
      </c>
      <c r="AA1707" s="33">
        <v>24</v>
      </c>
      <c r="AB1707" s="5"/>
      <c r="AC1707" s="5" t="s">
        <v>96</v>
      </c>
      <c r="AD1707" s="5"/>
      <c r="AE1707" s="5" t="s">
        <v>49</v>
      </c>
      <c r="AF1707" s="5"/>
      <c r="AG1707" s="5"/>
      <c r="AH1707" s="5" t="s">
        <v>7059</v>
      </c>
    </row>
    <row r="1708" spans="2:34" ht="22.95" customHeight="1" outlineLevel="3" x14ac:dyDescent="0.2">
      <c r="B1708" s="74" t="s">
        <v>7064</v>
      </c>
      <c r="C1708" s="74"/>
      <c r="D1708" s="74"/>
    </row>
    <row r="1709" spans="2:34" ht="21" customHeight="1" outlineLevel="4" x14ac:dyDescent="0.2">
      <c r="B1709" s="42">
        <v>1321</v>
      </c>
      <c r="C1709" s="5" t="s">
        <v>7065</v>
      </c>
      <c r="D1709" s="5" t="s">
        <v>7066</v>
      </c>
      <c r="E1709" s="6" t="s">
        <v>7067</v>
      </c>
      <c r="F1709" s="10"/>
      <c r="G1709" s="11" t="s">
        <v>7068</v>
      </c>
      <c r="H1709" s="12">
        <v>50</v>
      </c>
      <c r="I1709" s="13" t="s">
        <v>41</v>
      </c>
      <c r="J1709" s="13"/>
      <c r="K1709" s="13"/>
      <c r="L1709" s="4">
        <v>12</v>
      </c>
      <c r="M1709" s="14">
        <f>57*(1-P3/100)</f>
        <v>57</v>
      </c>
      <c r="N1709" s="15"/>
      <c r="O1709" s="13">
        <f t="shared" ref="O1709:O1716" si="72">M1709*N1709</f>
        <v>0</v>
      </c>
      <c r="P1709" s="22">
        <f>0.056*N1709</f>
        <v>0</v>
      </c>
      <c r="Q1709" s="23">
        <f>0.00034*N1709</f>
        <v>0</v>
      </c>
      <c r="R1709" s="24"/>
      <c r="S1709" s="25" t="s">
        <v>7069</v>
      </c>
      <c r="T1709" s="25" t="s">
        <v>43</v>
      </c>
      <c r="U1709" s="5"/>
      <c r="V1709" s="5"/>
      <c r="W1709" s="5" t="s">
        <v>46</v>
      </c>
      <c r="X1709" s="5"/>
      <c r="Y1709" s="5"/>
      <c r="Z1709" s="5" t="str">
        <f>HYPERLINK("https://knigipp.ru/api/getInfo/image/a6f76906-264a-11ea-a239-ac1f6b442184")</f>
        <v>https://knigipp.ru/api/getInfo/image/a6f76906-264a-11ea-a239-ac1f6b442184</v>
      </c>
      <c r="AA1709" s="33">
        <v>16</v>
      </c>
      <c r="AB1709" s="5"/>
      <c r="AC1709" s="5" t="s">
        <v>96</v>
      </c>
      <c r="AD1709" s="5"/>
      <c r="AE1709" s="5" t="s">
        <v>49</v>
      </c>
      <c r="AF1709" s="5"/>
      <c r="AG1709" s="5"/>
      <c r="AH1709" s="5" t="s">
        <v>238</v>
      </c>
    </row>
    <row r="1710" spans="2:34" ht="21" customHeight="1" outlineLevel="4" x14ac:dyDescent="0.2">
      <c r="B1710" s="42">
        <v>1322</v>
      </c>
      <c r="C1710" s="5" t="s">
        <v>7070</v>
      </c>
      <c r="D1710" s="5" t="s">
        <v>7071</v>
      </c>
      <c r="E1710" s="6" t="s">
        <v>7072</v>
      </c>
      <c r="F1710" s="10"/>
      <c r="G1710" s="11" t="s">
        <v>7073</v>
      </c>
      <c r="H1710" s="12">
        <v>50</v>
      </c>
      <c r="I1710" s="13" t="s">
        <v>41</v>
      </c>
      <c r="J1710" s="13"/>
      <c r="K1710" s="13"/>
      <c r="L1710" s="4">
        <v>12</v>
      </c>
      <c r="M1710" s="14">
        <f>57*(1-P3/100)</f>
        <v>57</v>
      </c>
      <c r="N1710" s="15"/>
      <c r="O1710" s="13">
        <f t="shared" si="72"/>
        <v>0</v>
      </c>
      <c r="P1710" s="22">
        <f>0.065*N1710</f>
        <v>0</v>
      </c>
      <c r="Q1710" s="23">
        <f>0.00022*N1710</f>
        <v>0</v>
      </c>
      <c r="R1710" s="24"/>
      <c r="S1710" s="25" t="s">
        <v>7074</v>
      </c>
      <c r="T1710" s="25" t="s">
        <v>43</v>
      </c>
      <c r="U1710" s="5"/>
      <c r="V1710" s="5"/>
      <c r="W1710" s="5" t="s">
        <v>46</v>
      </c>
      <c r="X1710" s="5"/>
      <c r="Y1710" s="5"/>
      <c r="Z1710" s="5" t="str">
        <f>HYPERLINK("https://knigipp.ru/api/getInfo/image/0857e4a3-0f7c-11ea-a236-ac1f6b442184")</f>
        <v>https://knigipp.ru/api/getInfo/image/0857e4a3-0f7c-11ea-a236-ac1f6b442184</v>
      </c>
      <c r="AA1710" s="33">
        <v>16</v>
      </c>
      <c r="AB1710" s="5"/>
      <c r="AC1710" s="5" t="s">
        <v>96</v>
      </c>
      <c r="AD1710" s="5"/>
      <c r="AE1710" s="5" t="s">
        <v>49</v>
      </c>
      <c r="AF1710" s="5"/>
      <c r="AG1710" s="5"/>
      <c r="AH1710" s="5" t="s">
        <v>238</v>
      </c>
    </row>
    <row r="1711" spans="2:34" ht="21" customHeight="1" outlineLevel="4" x14ac:dyDescent="0.2">
      <c r="B1711" s="42">
        <v>1323</v>
      </c>
      <c r="C1711" s="5" t="s">
        <v>7075</v>
      </c>
      <c r="D1711" s="5" t="s">
        <v>7076</v>
      </c>
      <c r="E1711" s="6" t="s">
        <v>7077</v>
      </c>
      <c r="F1711" s="10"/>
      <c r="G1711" s="11" t="s">
        <v>7078</v>
      </c>
      <c r="H1711" s="12">
        <v>50</v>
      </c>
      <c r="I1711" s="13" t="s">
        <v>41</v>
      </c>
      <c r="J1711" s="13"/>
      <c r="K1711" s="13"/>
      <c r="L1711" s="4">
        <v>12</v>
      </c>
      <c r="M1711" s="14">
        <f>57*(1-P3/100)</f>
        <v>57</v>
      </c>
      <c r="N1711" s="15"/>
      <c r="O1711" s="13">
        <f t="shared" si="72"/>
        <v>0</v>
      </c>
      <c r="P1711" s="22">
        <f>0.057*N1711</f>
        <v>0</v>
      </c>
      <c r="Q1711" s="23">
        <f>0.00022*N1711</f>
        <v>0</v>
      </c>
      <c r="R1711" s="24"/>
      <c r="S1711" s="25" t="s">
        <v>7079</v>
      </c>
      <c r="T1711" s="25" t="s">
        <v>43</v>
      </c>
      <c r="U1711" s="5"/>
      <c r="V1711" s="5"/>
      <c r="W1711" s="5" t="s">
        <v>46</v>
      </c>
      <c r="X1711" s="5"/>
      <c r="Y1711" s="5"/>
      <c r="Z1711" s="5" t="str">
        <f>HYPERLINK("https://knigipp.ru/api/getInfo/image/fecb8a4f-20d7-11ea-a237-ac1f6b442184")</f>
        <v>https://knigipp.ru/api/getInfo/image/fecb8a4f-20d7-11ea-a237-ac1f6b442184</v>
      </c>
      <c r="AA1711" s="33">
        <v>16</v>
      </c>
      <c r="AB1711" s="5"/>
      <c r="AC1711" s="5" t="s">
        <v>96</v>
      </c>
      <c r="AD1711" s="5"/>
      <c r="AE1711" s="5" t="s">
        <v>49</v>
      </c>
      <c r="AF1711" s="5"/>
      <c r="AG1711" s="5"/>
      <c r="AH1711" s="5" t="s">
        <v>238</v>
      </c>
    </row>
    <row r="1712" spans="2:34" ht="21" customHeight="1" outlineLevel="4" x14ac:dyDescent="0.2">
      <c r="B1712" s="42">
        <v>1324</v>
      </c>
      <c r="C1712" s="5" t="s">
        <v>7080</v>
      </c>
      <c r="D1712" s="5" t="s">
        <v>7081</v>
      </c>
      <c r="E1712" s="6" t="s">
        <v>7082</v>
      </c>
      <c r="F1712" s="10"/>
      <c r="G1712" s="11" t="s">
        <v>7078</v>
      </c>
      <c r="H1712" s="12">
        <v>50</v>
      </c>
      <c r="I1712" s="13" t="s">
        <v>41</v>
      </c>
      <c r="J1712" s="13"/>
      <c r="K1712" s="13"/>
      <c r="L1712" s="4">
        <v>12</v>
      </c>
      <c r="M1712" s="14">
        <f>57*(1-P3/100)</f>
        <v>57</v>
      </c>
      <c r="N1712" s="15"/>
      <c r="O1712" s="13">
        <f t="shared" si="72"/>
        <v>0</v>
      </c>
      <c r="P1712" s="22">
        <f>0.064*N1712</f>
        <v>0</v>
      </c>
      <c r="Q1712" s="23">
        <f>0.00028*N1712</f>
        <v>0</v>
      </c>
      <c r="R1712" s="24"/>
      <c r="S1712" s="25" t="s">
        <v>7083</v>
      </c>
      <c r="T1712" s="25" t="s">
        <v>43</v>
      </c>
      <c r="U1712" s="5"/>
      <c r="V1712" s="5"/>
      <c r="W1712" s="5" t="s">
        <v>46</v>
      </c>
      <c r="X1712" s="5"/>
      <c r="Y1712" s="5"/>
      <c r="Z1712" s="5" t="str">
        <f>HYPERLINK("https://knigipp.ru/api/getInfo/image/180dc31c-20d8-11ea-a237-ac1f6b442184")</f>
        <v>https://knigipp.ru/api/getInfo/image/180dc31c-20d8-11ea-a237-ac1f6b442184</v>
      </c>
      <c r="AA1712" s="33">
        <v>16</v>
      </c>
      <c r="AB1712" s="5"/>
      <c r="AC1712" s="5" t="s">
        <v>96</v>
      </c>
      <c r="AD1712" s="5"/>
      <c r="AE1712" s="5" t="s">
        <v>49</v>
      </c>
      <c r="AF1712" s="5"/>
      <c r="AG1712" s="5"/>
      <c r="AH1712" s="5" t="s">
        <v>238</v>
      </c>
    </row>
    <row r="1713" spans="2:34" ht="21" customHeight="1" outlineLevel="4" x14ac:dyDescent="0.2">
      <c r="B1713" s="42">
        <v>1325</v>
      </c>
      <c r="C1713" s="5" t="s">
        <v>7084</v>
      </c>
      <c r="D1713" s="5" t="s">
        <v>7085</v>
      </c>
      <c r="E1713" s="6" t="s">
        <v>7086</v>
      </c>
      <c r="F1713" s="10"/>
      <c r="G1713" s="11" t="s">
        <v>7073</v>
      </c>
      <c r="H1713" s="12">
        <v>50</v>
      </c>
      <c r="I1713" s="13" t="s">
        <v>41</v>
      </c>
      <c r="J1713" s="13"/>
      <c r="K1713" s="13"/>
      <c r="L1713" s="4">
        <v>12</v>
      </c>
      <c r="M1713" s="14">
        <f>57*(1-P3/100)</f>
        <v>57</v>
      </c>
      <c r="N1713" s="15"/>
      <c r="O1713" s="13">
        <f t="shared" si="72"/>
        <v>0</v>
      </c>
      <c r="P1713" s="22">
        <f>0.064*N1713</f>
        <v>0</v>
      </c>
      <c r="Q1713" s="23">
        <f>0.00028*N1713</f>
        <v>0</v>
      </c>
      <c r="R1713" s="24"/>
      <c r="S1713" s="25" t="s">
        <v>7087</v>
      </c>
      <c r="T1713" s="25" t="s">
        <v>43</v>
      </c>
      <c r="U1713" s="5"/>
      <c r="V1713" s="5"/>
      <c r="W1713" s="5" t="s">
        <v>46</v>
      </c>
      <c r="X1713" s="5"/>
      <c r="Y1713" s="5"/>
      <c r="Z1713" s="5" t="str">
        <f>HYPERLINK("https://knigipp.ru/api/getInfo/image/d6133b88-0f7b-11ea-a236-ac1f6b442184")</f>
        <v>https://knigipp.ru/api/getInfo/image/d6133b88-0f7b-11ea-a236-ac1f6b442184</v>
      </c>
      <c r="AA1713" s="33">
        <v>16</v>
      </c>
      <c r="AB1713" s="5"/>
      <c r="AC1713" s="5" t="s">
        <v>96</v>
      </c>
      <c r="AD1713" s="5"/>
      <c r="AE1713" s="5" t="s">
        <v>49</v>
      </c>
      <c r="AF1713" s="5"/>
      <c r="AG1713" s="5"/>
      <c r="AH1713" s="5" t="s">
        <v>238</v>
      </c>
    </row>
    <row r="1714" spans="2:34" ht="21" customHeight="1" outlineLevel="4" x14ac:dyDescent="0.2">
      <c r="B1714" s="42">
        <v>1326</v>
      </c>
      <c r="C1714" s="5" t="s">
        <v>7088</v>
      </c>
      <c r="D1714" s="5" t="s">
        <v>7089</v>
      </c>
      <c r="E1714" s="6" t="s">
        <v>7090</v>
      </c>
      <c r="F1714" s="10"/>
      <c r="G1714" s="11" t="s">
        <v>7091</v>
      </c>
      <c r="H1714" s="12">
        <v>50</v>
      </c>
      <c r="I1714" s="13" t="s">
        <v>41</v>
      </c>
      <c r="J1714" s="13"/>
      <c r="K1714" s="13"/>
      <c r="L1714" s="4">
        <v>12</v>
      </c>
      <c r="M1714" s="14">
        <f>57*(1-P3/100)</f>
        <v>57</v>
      </c>
      <c r="N1714" s="15"/>
      <c r="O1714" s="13">
        <f t="shared" si="72"/>
        <v>0</v>
      </c>
      <c r="P1714" s="22">
        <f>0.055*N1714</f>
        <v>0</v>
      </c>
      <c r="Q1714" s="23">
        <f>0.00121*N1714</f>
        <v>0</v>
      </c>
      <c r="R1714" s="24"/>
      <c r="S1714" s="25" t="s">
        <v>7092</v>
      </c>
      <c r="T1714" s="25" t="s">
        <v>43</v>
      </c>
      <c r="U1714" s="5"/>
      <c r="V1714" s="5"/>
      <c r="W1714" s="5" t="s">
        <v>46</v>
      </c>
      <c r="X1714" s="5"/>
      <c r="Y1714" s="5"/>
      <c r="Z1714" s="5" t="str">
        <f>HYPERLINK("https://knigipp.ru/api/getInfo/image/877e8e4f-264a-11ea-a239-ac1f6b442184")</f>
        <v>https://knigipp.ru/api/getInfo/image/877e8e4f-264a-11ea-a239-ac1f6b442184</v>
      </c>
      <c r="AA1714" s="33">
        <v>16</v>
      </c>
      <c r="AB1714" s="5"/>
      <c r="AC1714" s="5" t="s">
        <v>96</v>
      </c>
      <c r="AD1714" s="5"/>
      <c r="AE1714" s="5" t="s">
        <v>49</v>
      </c>
      <c r="AF1714" s="5"/>
      <c r="AG1714" s="5"/>
      <c r="AH1714" s="5" t="s">
        <v>238</v>
      </c>
    </row>
    <row r="1715" spans="2:34" ht="21" customHeight="1" outlineLevel="4" x14ac:dyDescent="0.2">
      <c r="B1715" s="42">
        <v>1327</v>
      </c>
      <c r="C1715" s="5" t="s">
        <v>7093</v>
      </c>
      <c r="D1715" s="5" t="s">
        <v>7094</v>
      </c>
      <c r="E1715" s="6" t="s">
        <v>7095</v>
      </c>
      <c r="F1715" s="10"/>
      <c r="G1715" s="11" t="s">
        <v>7096</v>
      </c>
      <c r="H1715" s="12">
        <v>50</v>
      </c>
      <c r="I1715" s="13" t="s">
        <v>41</v>
      </c>
      <c r="J1715" s="13"/>
      <c r="K1715" s="13"/>
      <c r="L1715" s="4">
        <v>12</v>
      </c>
      <c r="M1715" s="14">
        <f>57*(1-P3/100)</f>
        <v>57</v>
      </c>
      <c r="N1715" s="15"/>
      <c r="O1715" s="13">
        <f t="shared" si="72"/>
        <v>0</v>
      </c>
      <c r="P1715" s="22">
        <f>0.056*N1715</f>
        <v>0</v>
      </c>
      <c r="Q1715" s="23">
        <f>0.00022*N1715</f>
        <v>0</v>
      </c>
      <c r="R1715" s="24"/>
      <c r="S1715" s="25" t="s">
        <v>7097</v>
      </c>
      <c r="T1715" s="25" t="s">
        <v>43</v>
      </c>
      <c r="U1715" s="5"/>
      <c r="V1715" s="5"/>
      <c r="W1715" s="5" t="s">
        <v>46</v>
      </c>
      <c r="X1715" s="5"/>
      <c r="Y1715" s="5"/>
      <c r="Z1715" s="5" t="str">
        <f>HYPERLINK("https://knigipp.ru/api/getInfo/image/63480c10-264a-11ea-a239-ac1f6b442184")</f>
        <v>https://knigipp.ru/api/getInfo/image/63480c10-264a-11ea-a239-ac1f6b442184</v>
      </c>
      <c r="AA1715" s="33">
        <v>16</v>
      </c>
      <c r="AB1715" s="5"/>
      <c r="AC1715" s="5" t="s">
        <v>96</v>
      </c>
      <c r="AD1715" s="5"/>
      <c r="AE1715" s="5" t="s">
        <v>49</v>
      </c>
      <c r="AF1715" s="5"/>
      <c r="AG1715" s="5"/>
      <c r="AH1715" s="5" t="s">
        <v>238</v>
      </c>
    </row>
    <row r="1716" spans="2:34" ht="21" customHeight="1" outlineLevel="4" x14ac:dyDescent="0.2">
      <c r="B1716" s="42">
        <v>1328</v>
      </c>
      <c r="C1716" s="5" t="s">
        <v>7098</v>
      </c>
      <c r="D1716" s="5" t="s">
        <v>7099</v>
      </c>
      <c r="E1716" s="6" t="s">
        <v>7100</v>
      </c>
      <c r="F1716" s="10"/>
      <c r="G1716" s="11" t="s">
        <v>7096</v>
      </c>
      <c r="H1716" s="12">
        <v>50</v>
      </c>
      <c r="I1716" s="13" t="s">
        <v>41</v>
      </c>
      <c r="J1716" s="13"/>
      <c r="K1716" s="13"/>
      <c r="L1716" s="4">
        <v>12</v>
      </c>
      <c r="M1716" s="14">
        <f>57*(1-P3/100)</f>
        <v>57</v>
      </c>
      <c r="N1716" s="15"/>
      <c r="O1716" s="13">
        <f t="shared" si="72"/>
        <v>0</v>
      </c>
      <c r="P1716" s="22">
        <f>0.055*N1716</f>
        <v>0</v>
      </c>
      <c r="Q1716" s="23">
        <f>0.00022*N1716</f>
        <v>0</v>
      </c>
      <c r="R1716" s="24"/>
      <c r="S1716" s="25" t="s">
        <v>7101</v>
      </c>
      <c r="T1716" s="25" t="s">
        <v>43</v>
      </c>
      <c r="U1716" s="5"/>
      <c r="V1716" s="5"/>
      <c r="W1716" s="5" t="s">
        <v>46</v>
      </c>
      <c r="X1716" s="5"/>
      <c r="Y1716" s="5"/>
      <c r="Z1716" s="5" t="str">
        <f>HYPERLINK("https://knigipp.ru/api/getInfo/image/2151aa44-264a-11ea-a239-ac1f6b442184")</f>
        <v>https://knigipp.ru/api/getInfo/image/2151aa44-264a-11ea-a239-ac1f6b442184</v>
      </c>
      <c r="AA1716" s="33">
        <v>16</v>
      </c>
      <c r="AB1716" s="5"/>
      <c r="AC1716" s="5" t="s">
        <v>96</v>
      </c>
      <c r="AD1716" s="5"/>
      <c r="AE1716" s="5" t="s">
        <v>49</v>
      </c>
      <c r="AF1716" s="5"/>
      <c r="AG1716" s="5"/>
      <c r="AH1716" s="5" t="s">
        <v>238</v>
      </c>
    </row>
    <row r="1717" spans="2:34" ht="22.95" customHeight="1" outlineLevel="3" x14ac:dyDescent="0.2">
      <c r="B1717" s="74" t="s">
        <v>7102</v>
      </c>
      <c r="C1717" s="74"/>
      <c r="D1717" s="74"/>
    </row>
    <row r="1718" spans="2:34" ht="21" customHeight="1" outlineLevel="4" x14ac:dyDescent="0.2">
      <c r="B1718" s="42">
        <v>1329</v>
      </c>
      <c r="C1718" s="5" t="s">
        <v>7103</v>
      </c>
      <c r="D1718" s="5" t="s">
        <v>7104</v>
      </c>
      <c r="E1718" s="6" t="s">
        <v>7105</v>
      </c>
      <c r="F1718" s="10"/>
      <c r="G1718" s="11" t="s">
        <v>7106</v>
      </c>
      <c r="H1718" s="12">
        <v>50</v>
      </c>
      <c r="I1718" s="13" t="s">
        <v>41</v>
      </c>
      <c r="J1718" s="13"/>
      <c r="K1718" s="13"/>
      <c r="L1718" s="4">
        <v>12</v>
      </c>
      <c r="M1718" s="14">
        <f>53.9*(1-P3/100)</f>
        <v>53.9</v>
      </c>
      <c r="N1718" s="15"/>
      <c r="O1718" s="13">
        <f>M1718*N1718</f>
        <v>0</v>
      </c>
      <c r="P1718" s="22">
        <f>0.067*N1718</f>
        <v>0</v>
      </c>
      <c r="Q1718" s="23">
        <f>0.00011*N1718</f>
        <v>0</v>
      </c>
      <c r="R1718" s="24"/>
      <c r="S1718" s="25" t="s">
        <v>7107</v>
      </c>
      <c r="T1718" s="25" t="s">
        <v>43</v>
      </c>
      <c r="U1718" s="5"/>
      <c r="V1718" s="5"/>
      <c r="W1718" s="5" t="s">
        <v>46</v>
      </c>
      <c r="X1718" s="5"/>
      <c r="Y1718" s="5"/>
      <c r="Z1718" s="5" t="str">
        <f>HYPERLINK("https://knigipp.ru/api/getInfo/image/a48db8e9-7323-11ea-a244-ac1f6b442184")</f>
        <v>https://knigipp.ru/api/getInfo/image/a48db8e9-7323-11ea-a244-ac1f6b442184</v>
      </c>
      <c r="AA1718" s="33">
        <v>16</v>
      </c>
      <c r="AB1718" s="5"/>
      <c r="AC1718" s="5" t="s">
        <v>96</v>
      </c>
      <c r="AD1718" s="5"/>
      <c r="AE1718" s="5" t="s">
        <v>49</v>
      </c>
      <c r="AF1718" s="5"/>
      <c r="AG1718" s="5" t="s">
        <v>7108</v>
      </c>
      <c r="AH1718" s="5" t="s">
        <v>472</v>
      </c>
    </row>
    <row r="1719" spans="2:34" ht="22.95" customHeight="1" outlineLevel="3" x14ac:dyDescent="0.2">
      <c r="B1719" s="74" t="s">
        <v>7109</v>
      </c>
      <c r="C1719" s="74"/>
      <c r="D1719" s="74"/>
    </row>
    <row r="1720" spans="2:34" ht="21" customHeight="1" outlineLevel="4" x14ac:dyDescent="0.2">
      <c r="B1720" s="42">
        <v>1330</v>
      </c>
      <c r="C1720" s="5" t="s">
        <v>7110</v>
      </c>
      <c r="D1720" s="5" t="s">
        <v>7111</v>
      </c>
      <c r="E1720" s="6" t="s">
        <v>7112</v>
      </c>
      <c r="F1720" s="10"/>
      <c r="G1720" s="11" t="s">
        <v>7113</v>
      </c>
      <c r="H1720" s="12">
        <v>30</v>
      </c>
      <c r="I1720" s="13" t="s">
        <v>41</v>
      </c>
      <c r="J1720" s="13"/>
      <c r="K1720" s="13"/>
      <c r="L1720" s="4">
        <v>7</v>
      </c>
      <c r="M1720" s="14">
        <f>99*(1-P3/100)</f>
        <v>99</v>
      </c>
      <c r="N1720" s="15"/>
      <c r="O1720" s="13">
        <f t="shared" ref="O1720:O1727" si="73">M1720*N1720</f>
        <v>0</v>
      </c>
      <c r="P1720" s="22">
        <f>0.127*N1720</f>
        <v>0</v>
      </c>
      <c r="Q1720" s="23">
        <f>0.00071*N1720</f>
        <v>0</v>
      </c>
      <c r="R1720" s="24"/>
      <c r="S1720" s="25" t="s">
        <v>7114</v>
      </c>
      <c r="T1720" s="25" t="s">
        <v>43</v>
      </c>
      <c r="U1720" s="5"/>
      <c r="V1720" s="5"/>
      <c r="W1720" s="5" t="s">
        <v>46</v>
      </c>
      <c r="X1720" s="5"/>
      <c r="Y1720" s="5"/>
      <c r="Z1720" s="5" t="str">
        <f>HYPERLINK("https://knigipp.ru/api/getInfo/image/52d7bb41-6bea-11ed-a22a-00155d82e902")</f>
        <v>https://knigipp.ru/api/getInfo/image/52d7bb41-6bea-11ed-a22a-00155d82e902</v>
      </c>
      <c r="AA1720" s="33">
        <v>24</v>
      </c>
      <c r="AB1720" s="5" t="s">
        <v>47</v>
      </c>
      <c r="AC1720" s="5" t="s">
        <v>96</v>
      </c>
      <c r="AD1720" s="5"/>
      <c r="AE1720" s="5" t="s">
        <v>49</v>
      </c>
      <c r="AF1720" s="5"/>
      <c r="AG1720" s="5"/>
      <c r="AH1720" s="5" t="s">
        <v>7115</v>
      </c>
    </row>
    <row r="1721" spans="2:34" ht="21" customHeight="1" outlineLevel="4" x14ac:dyDescent="0.2">
      <c r="B1721" s="42">
        <v>1331</v>
      </c>
      <c r="C1721" s="5" t="s">
        <v>7116</v>
      </c>
      <c r="D1721" s="5" t="s">
        <v>7117</v>
      </c>
      <c r="E1721" s="6" t="s">
        <v>7118</v>
      </c>
      <c r="F1721" s="10"/>
      <c r="G1721" s="11" t="s">
        <v>7119</v>
      </c>
      <c r="H1721" s="12">
        <v>30</v>
      </c>
      <c r="I1721" s="13" t="s">
        <v>41</v>
      </c>
      <c r="J1721" s="13"/>
      <c r="K1721" s="13"/>
      <c r="L1721" s="4">
        <v>7</v>
      </c>
      <c r="M1721" s="14">
        <f>99*(1-P3/100)</f>
        <v>99</v>
      </c>
      <c r="N1721" s="15"/>
      <c r="O1721" s="13">
        <f t="shared" si="73"/>
        <v>0</v>
      </c>
      <c r="P1721" s="22">
        <f>0.126*N1721</f>
        <v>0</v>
      </c>
      <c r="Q1721" s="23">
        <f>0.00056*N1721</f>
        <v>0</v>
      </c>
      <c r="R1721" s="24"/>
      <c r="S1721" s="25" t="s">
        <v>7120</v>
      </c>
      <c r="T1721" s="25" t="s">
        <v>43</v>
      </c>
      <c r="U1721" s="5"/>
      <c r="V1721" s="5"/>
      <c r="W1721" s="5" t="s">
        <v>46</v>
      </c>
      <c r="X1721" s="5" t="s">
        <v>1048</v>
      </c>
      <c r="Y1721" s="5"/>
      <c r="Z1721" s="5" t="str">
        <f>HYPERLINK("https://knigipp.ru/api/getInfo/image/43dd32ef-ca64-11ee-a25a-00155d82e908")</f>
        <v>https://knigipp.ru/api/getInfo/image/43dd32ef-ca64-11ee-a25a-00155d82e908</v>
      </c>
      <c r="AA1721" s="33">
        <v>24</v>
      </c>
      <c r="AB1721" s="5" t="s">
        <v>47</v>
      </c>
      <c r="AC1721" s="5" t="s">
        <v>96</v>
      </c>
      <c r="AD1721" s="5"/>
      <c r="AE1721" s="5" t="s">
        <v>49</v>
      </c>
      <c r="AF1721" s="5"/>
      <c r="AG1721" s="5"/>
      <c r="AH1721" s="5" t="s">
        <v>7115</v>
      </c>
    </row>
    <row r="1722" spans="2:34" ht="21" customHeight="1" outlineLevel="4" x14ac:dyDescent="0.2">
      <c r="B1722" s="42">
        <v>1332</v>
      </c>
      <c r="C1722" s="5" t="s">
        <v>7121</v>
      </c>
      <c r="D1722" s="5" t="s">
        <v>7122</v>
      </c>
      <c r="E1722" s="6" t="s">
        <v>7123</v>
      </c>
      <c r="F1722" s="10"/>
      <c r="G1722" s="11" t="s">
        <v>7124</v>
      </c>
      <c r="H1722" s="12">
        <v>30</v>
      </c>
      <c r="I1722" s="13" t="s">
        <v>41</v>
      </c>
      <c r="J1722" s="13"/>
      <c r="K1722" s="13"/>
      <c r="L1722" s="4">
        <v>7</v>
      </c>
      <c r="M1722" s="14">
        <f>99*(1-P3/100)</f>
        <v>99</v>
      </c>
      <c r="N1722" s="15"/>
      <c r="O1722" s="13">
        <f t="shared" si="73"/>
        <v>0</v>
      </c>
      <c r="P1722" s="22">
        <f>0.125*N1722</f>
        <v>0</v>
      </c>
      <c r="Q1722" s="23">
        <f>0.00081*N1722</f>
        <v>0</v>
      </c>
      <c r="R1722" s="24"/>
      <c r="S1722" s="25" t="s">
        <v>7125</v>
      </c>
      <c r="T1722" s="25" t="s">
        <v>43</v>
      </c>
      <c r="U1722" s="5"/>
      <c r="V1722" s="5"/>
      <c r="W1722" s="5" t="s">
        <v>46</v>
      </c>
      <c r="X1722" s="5"/>
      <c r="Y1722" s="5"/>
      <c r="Z1722" s="5" t="str">
        <f>HYPERLINK("https://knigipp.ru/api/getInfo/image/b388048a-043d-11ee-a23b-00155d82e902")</f>
        <v>https://knigipp.ru/api/getInfo/image/b388048a-043d-11ee-a23b-00155d82e902</v>
      </c>
      <c r="AA1722" s="33">
        <v>24</v>
      </c>
      <c r="AB1722" s="5" t="s">
        <v>47</v>
      </c>
      <c r="AC1722" s="5" t="s">
        <v>96</v>
      </c>
      <c r="AD1722" s="5"/>
      <c r="AE1722" s="5" t="s">
        <v>49</v>
      </c>
      <c r="AF1722" s="5"/>
      <c r="AG1722" s="5"/>
      <c r="AH1722" s="5" t="s">
        <v>7115</v>
      </c>
    </row>
    <row r="1723" spans="2:34" ht="21" customHeight="1" outlineLevel="4" x14ac:dyDescent="0.2">
      <c r="B1723" s="42">
        <v>1333</v>
      </c>
      <c r="C1723" s="5" t="s">
        <v>7126</v>
      </c>
      <c r="D1723" s="5" t="s">
        <v>7127</v>
      </c>
      <c r="E1723" s="6" t="s">
        <v>7128</v>
      </c>
      <c r="F1723" s="10"/>
      <c r="G1723" s="11" t="s">
        <v>7124</v>
      </c>
      <c r="H1723" s="12">
        <v>30</v>
      </c>
      <c r="I1723" s="13" t="s">
        <v>41</v>
      </c>
      <c r="J1723" s="13"/>
      <c r="K1723" s="13"/>
      <c r="L1723" s="4">
        <v>7</v>
      </c>
      <c r="M1723" s="14">
        <f>99*(1-P3/100)</f>
        <v>99</v>
      </c>
      <c r="N1723" s="15"/>
      <c r="O1723" s="13">
        <f t="shared" si="73"/>
        <v>0</v>
      </c>
      <c r="P1723" s="22">
        <f>0.124*N1723</f>
        <v>0</v>
      </c>
      <c r="Q1723" s="23">
        <f>0.00061*N1723</f>
        <v>0</v>
      </c>
      <c r="R1723" s="24"/>
      <c r="S1723" s="25" t="s">
        <v>7129</v>
      </c>
      <c r="T1723" s="25" t="s">
        <v>43</v>
      </c>
      <c r="U1723" s="5"/>
      <c r="V1723" s="5"/>
      <c r="W1723" s="5" t="s">
        <v>46</v>
      </c>
      <c r="X1723" s="5"/>
      <c r="Y1723" s="5"/>
      <c r="Z1723" s="5" t="str">
        <f>HYPERLINK("https://knigipp.ru/api/getInfo/image/6861c5db-043d-11ee-a23b-00155d82e902")</f>
        <v>https://knigipp.ru/api/getInfo/image/6861c5db-043d-11ee-a23b-00155d82e902</v>
      </c>
      <c r="AA1723" s="33">
        <v>24</v>
      </c>
      <c r="AB1723" s="5" t="s">
        <v>47</v>
      </c>
      <c r="AC1723" s="5" t="s">
        <v>96</v>
      </c>
      <c r="AD1723" s="5"/>
      <c r="AE1723" s="5" t="s">
        <v>49</v>
      </c>
      <c r="AF1723" s="5"/>
      <c r="AG1723" s="5"/>
      <c r="AH1723" s="5" t="s">
        <v>7115</v>
      </c>
    </row>
    <row r="1724" spans="2:34" ht="21" customHeight="1" outlineLevel="4" x14ac:dyDescent="0.2">
      <c r="B1724" s="42">
        <v>1334</v>
      </c>
      <c r="C1724" s="5" t="s">
        <v>7130</v>
      </c>
      <c r="D1724" s="5" t="s">
        <v>7131</v>
      </c>
      <c r="E1724" s="6" t="s">
        <v>7132</v>
      </c>
      <c r="F1724" s="10"/>
      <c r="G1724" s="11" t="s">
        <v>7113</v>
      </c>
      <c r="H1724" s="12">
        <v>30</v>
      </c>
      <c r="I1724" s="13" t="s">
        <v>41</v>
      </c>
      <c r="J1724" s="13"/>
      <c r="K1724" s="13"/>
      <c r="L1724" s="4">
        <v>7</v>
      </c>
      <c r="M1724" s="14">
        <f>99*(1-P3/100)</f>
        <v>99</v>
      </c>
      <c r="N1724" s="15"/>
      <c r="O1724" s="13">
        <f t="shared" si="73"/>
        <v>0</v>
      </c>
      <c r="P1724" s="22">
        <f>0.126*N1724</f>
        <v>0</v>
      </c>
      <c r="Q1724" s="23">
        <f>0.00064*N1724</f>
        <v>0</v>
      </c>
      <c r="R1724" s="24"/>
      <c r="S1724" s="25" t="s">
        <v>7133</v>
      </c>
      <c r="T1724" s="25" t="s">
        <v>43</v>
      </c>
      <c r="U1724" s="5"/>
      <c r="V1724" s="5" t="s">
        <v>7134</v>
      </c>
      <c r="W1724" s="5" t="s">
        <v>46</v>
      </c>
      <c r="X1724" s="5"/>
      <c r="Y1724" s="5"/>
      <c r="Z1724" s="5" t="str">
        <f>HYPERLINK("https://knigipp.ru/api/getInfo/image/d9f5d52b-6bea-11ed-a22a-00155d82e902")</f>
        <v>https://knigipp.ru/api/getInfo/image/d9f5d52b-6bea-11ed-a22a-00155d82e902</v>
      </c>
      <c r="AA1724" s="33">
        <v>24</v>
      </c>
      <c r="AB1724" s="5" t="s">
        <v>47</v>
      </c>
      <c r="AC1724" s="5" t="s">
        <v>96</v>
      </c>
      <c r="AD1724" s="5"/>
      <c r="AE1724" s="5" t="s">
        <v>49</v>
      </c>
      <c r="AF1724" s="5"/>
      <c r="AG1724" s="5"/>
      <c r="AH1724" s="5" t="s">
        <v>7115</v>
      </c>
    </row>
    <row r="1725" spans="2:34" ht="21" customHeight="1" outlineLevel="4" x14ac:dyDescent="0.2">
      <c r="B1725" s="42">
        <v>1335</v>
      </c>
      <c r="C1725" s="5" t="s">
        <v>7135</v>
      </c>
      <c r="D1725" s="5" t="s">
        <v>7136</v>
      </c>
      <c r="E1725" s="6" t="s">
        <v>7137</v>
      </c>
      <c r="F1725" s="10"/>
      <c r="G1725" s="11" t="s">
        <v>7138</v>
      </c>
      <c r="H1725" s="12">
        <v>30</v>
      </c>
      <c r="I1725" s="13" t="s">
        <v>41</v>
      </c>
      <c r="J1725" s="13"/>
      <c r="K1725" s="13"/>
      <c r="L1725" s="4">
        <v>7</v>
      </c>
      <c r="M1725" s="14">
        <f>99*(1-P3/100)</f>
        <v>99</v>
      </c>
      <c r="N1725" s="15"/>
      <c r="O1725" s="13">
        <f t="shared" si="73"/>
        <v>0</v>
      </c>
      <c r="P1725" s="22">
        <f>0.126*N1725</f>
        <v>0</v>
      </c>
      <c r="Q1725" s="23">
        <f>0.00072*N1725</f>
        <v>0</v>
      </c>
      <c r="R1725" s="24"/>
      <c r="S1725" s="25" t="s">
        <v>7139</v>
      </c>
      <c r="T1725" s="25" t="s">
        <v>43</v>
      </c>
      <c r="U1725" s="5"/>
      <c r="V1725" s="5"/>
      <c r="W1725" s="5" t="s">
        <v>46</v>
      </c>
      <c r="X1725" s="5" t="s">
        <v>1048</v>
      </c>
      <c r="Y1725" s="5"/>
      <c r="Z1725" s="5" t="str">
        <f>HYPERLINK("https://knigipp.ru/api/getInfo/image/c3a182f5-95c7-11ee-a250-00155d82e908")</f>
        <v>https://knigipp.ru/api/getInfo/image/c3a182f5-95c7-11ee-a250-00155d82e908</v>
      </c>
      <c r="AA1725" s="33">
        <v>24</v>
      </c>
      <c r="AB1725" s="5" t="s">
        <v>47</v>
      </c>
      <c r="AC1725" s="5" t="s">
        <v>96</v>
      </c>
      <c r="AD1725" s="5"/>
      <c r="AE1725" s="5" t="s">
        <v>49</v>
      </c>
      <c r="AF1725" s="5"/>
      <c r="AG1725" s="5"/>
      <c r="AH1725" s="5" t="s">
        <v>7115</v>
      </c>
    </row>
    <row r="1726" spans="2:34" ht="21" customHeight="1" outlineLevel="4" x14ac:dyDescent="0.2">
      <c r="B1726" s="42">
        <v>1336</v>
      </c>
      <c r="C1726" s="5" t="s">
        <v>7140</v>
      </c>
      <c r="D1726" s="5" t="s">
        <v>7141</v>
      </c>
      <c r="E1726" s="6" t="s">
        <v>7142</v>
      </c>
      <c r="F1726" s="10"/>
      <c r="G1726" s="11" t="s">
        <v>7124</v>
      </c>
      <c r="H1726" s="12">
        <v>30</v>
      </c>
      <c r="I1726" s="13" t="s">
        <v>41</v>
      </c>
      <c r="J1726" s="13"/>
      <c r="K1726" s="13"/>
      <c r="L1726" s="4">
        <v>7</v>
      </c>
      <c r="M1726" s="14">
        <f>99*(1-P3/100)</f>
        <v>99</v>
      </c>
      <c r="N1726" s="15"/>
      <c r="O1726" s="13">
        <f t="shared" si="73"/>
        <v>0</v>
      </c>
      <c r="P1726" s="22">
        <f>0.125*N1726</f>
        <v>0</v>
      </c>
      <c r="Q1726" s="23">
        <f>0.00056*N1726</f>
        <v>0</v>
      </c>
      <c r="R1726" s="24"/>
      <c r="S1726" s="25" t="s">
        <v>7143</v>
      </c>
      <c r="T1726" s="25" t="s">
        <v>43</v>
      </c>
      <c r="U1726" s="5"/>
      <c r="V1726" s="5"/>
      <c r="W1726" s="5" t="s">
        <v>46</v>
      </c>
      <c r="X1726" s="5"/>
      <c r="Y1726" s="5"/>
      <c r="Z1726" s="5" t="str">
        <f>HYPERLINK("https://knigipp.ru/api/getInfo/image/33f04058-043d-11ee-a23b-00155d82e902")</f>
        <v>https://knigipp.ru/api/getInfo/image/33f04058-043d-11ee-a23b-00155d82e902</v>
      </c>
      <c r="AA1726" s="33">
        <v>24</v>
      </c>
      <c r="AB1726" s="5" t="s">
        <v>47</v>
      </c>
      <c r="AC1726" s="5" t="s">
        <v>96</v>
      </c>
      <c r="AD1726" s="5"/>
      <c r="AE1726" s="5" t="s">
        <v>49</v>
      </c>
      <c r="AF1726" s="5"/>
      <c r="AG1726" s="5"/>
      <c r="AH1726" s="5" t="s">
        <v>7115</v>
      </c>
    </row>
    <row r="1727" spans="2:34" ht="21" customHeight="1" outlineLevel="4" x14ac:dyDescent="0.2">
      <c r="B1727" s="42">
        <v>1337</v>
      </c>
      <c r="C1727" s="5" t="s">
        <v>7144</v>
      </c>
      <c r="D1727" s="5" t="s">
        <v>7145</v>
      </c>
      <c r="E1727" s="6" t="s">
        <v>7146</v>
      </c>
      <c r="F1727" s="10"/>
      <c r="G1727" s="11" t="s">
        <v>7124</v>
      </c>
      <c r="H1727" s="12">
        <v>30</v>
      </c>
      <c r="I1727" s="13" t="s">
        <v>41</v>
      </c>
      <c r="J1727" s="13"/>
      <c r="K1727" s="13"/>
      <c r="L1727" s="4">
        <v>7</v>
      </c>
      <c r="M1727" s="14">
        <f>99*(1-P3/100)</f>
        <v>99</v>
      </c>
      <c r="N1727" s="15"/>
      <c r="O1727" s="13">
        <f t="shared" si="73"/>
        <v>0</v>
      </c>
      <c r="P1727" s="22">
        <f>0.125*N1727</f>
        <v>0</v>
      </c>
      <c r="Q1727" s="23">
        <f>0.00064*N1727</f>
        <v>0</v>
      </c>
      <c r="R1727" s="24"/>
      <c r="S1727" s="25" t="s">
        <v>7147</v>
      </c>
      <c r="T1727" s="25" t="s">
        <v>43</v>
      </c>
      <c r="U1727" s="5"/>
      <c r="V1727" s="5"/>
      <c r="W1727" s="5" t="s">
        <v>46</v>
      </c>
      <c r="X1727" s="5"/>
      <c r="Y1727" s="5"/>
      <c r="Z1727" s="5" t="str">
        <f>HYPERLINK("https://knigipp.ru/api/getInfo/image/e1749631-043d-11ee-a23b-00155d82e902")</f>
        <v>https://knigipp.ru/api/getInfo/image/e1749631-043d-11ee-a23b-00155d82e902</v>
      </c>
      <c r="AA1727" s="33">
        <v>24</v>
      </c>
      <c r="AB1727" s="5" t="s">
        <v>47</v>
      </c>
      <c r="AC1727" s="5" t="s">
        <v>96</v>
      </c>
      <c r="AD1727" s="5"/>
      <c r="AE1727" s="5" t="s">
        <v>49</v>
      </c>
      <c r="AF1727" s="5"/>
      <c r="AG1727" s="5"/>
      <c r="AH1727" s="5" t="s">
        <v>7115</v>
      </c>
    </row>
    <row r="1728" spans="2:34" ht="22.95" customHeight="1" outlineLevel="3" x14ac:dyDescent="0.2">
      <c r="B1728" s="74" t="s">
        <v>7148</v>
      </c>
      <c r="C1728" s="74"/>
      <c r="D1728" s="74"/>
    </row>
    <row r="1729" spans="2:34" ht="21" customHeight="1" outlineLevel="4" x14ac:dyDescent="0.2">
      <c r="B1729" s="42">
        <v>1338</v>
      </c>
      <c r="C1729" s="5" t="s">
        <v>7149</v>
      </c>
      <c r="D1729" s="5" t="s">
        <v>7150</v>
      </c>
      <c r="E1729" s="6" t="s">
        <v>7151</v>
      </c>
      <c r="F1729" s="10"/>
      <c r="G1729" s="11" t="s">
        <v>7152</v>
      </c>
      <c r="H1729" s="12">
        <v>50</v>
      </c>
      <c r="I1729" s="13" t="s">
        <v>41</v>
      </c>
      <c r="J1729" s="13"/>
      <c r="K1729" s="13"/>
      <c r="L1729" s="4">
        <v>3</v>
      </c>
      <c r="M1729" s="14">
        <f>217*(1-P3/100)</f>
        <v>217</v>
      </c>
      <c r="N1729" s="15"/>
      <c r="O1729" s="13">
        <f>M1729*N1729</f>
        <v>0</v>
      </c>
      <c r="P1729" s="22">
        <f>0.108*N1729</f>
        <v>0</v>
      </c>
      <c r="Q1729" s="23">
        <f>0.00039*N1729</f>
        <v>0</v>
      </c>
      <c r="R1729" s="24"/>
      <c r="S1729" s="25" t="s">
        <v>7153</v>
      </c>
      <c r="T1729" s="25" t="s">
        <v>43</v>
      </c>
      <c r="U1729" s="5"/>
      <c r="V1729" s="5" t="s">
        <v>7154</v>
      </c>
      <c r="W1729" s="5" t="s">
        <v>46</v>
      </c>
      <c r="X1729" s="5"/>
      <c r="Y1729" s="5"/>
      <c r="Z1729" s="5" t="str">
        <f>HYPERLINK("https://knigipp.ru/api/getInfo/image/eb3a29c6-66cb-11ef-a265-00155d82e908")</f>
        <v>https://knigipp.ru/api/getInfo/image/eb3a29c6-66cb-11ef-a265-00155d82e908</v>
      </c>
      <c r="AA1729" s="33">
        <v>32</v>
      </c>
      <c r="AB1729" s="5"/>
      <c r="AC1729" s="5" t="s">
        <v>96</v>
      </c>
      <c r="AD1729" s="5"/>
      <c r="AE1729" s="5" t="s">
        <v>49</v>
      </c>
      <c r="AF1729" s="5"/>
      <c r="AG1729" s="5"/>
      <c r="AH1729" s="5" t="s">
        <v>7059</v>
      </c>
    </row>
    <row r="1730" spans="2:34" ht="21" customHeight="1" outlineLevel="4" x14ac:dyDescent="0.2">
      <c r="B1730" s="42">
        <v>1339</v>
      </c>
      <c r="C1730" s="5" t="s">
        <v>7155</v>
      </c>
      <c r="D1730" s="5" t="s">
        <v>7156</v>
      </c>
      <c r="E1730" s="6" t="s">
        <v>7157</v>
      </c>
      <c r="F1730" s="10"/>
      <c r="G1730" s="11" t="s">
        <v>7152</v>
      </c>
      <c r="H1730" s="12">
        <v>50</v>
      </c>
      <c r="I1730" s="13" t="s">
        <v>371</v>
      </c>
      <c r="J1730" s="13"/>
      <c r="K1730" s="13"/>
      <c r="L1730" s="4">
        <v>3</v>
      </c>
      <c r="M1730" s="14">
        <f>217*(1-P3/100)</f>
        <v>217</v>
      </c>
      <c r="N1730" s="15"/>
      <c r="O1730" s="13">
        <f>M1730*N1730</f>
        <v>0</v>
      </c>
      <c r="P1730" s="22">
        <f>0.108*N1730</f>
        <v>0</v>
      </c>
      <c r="Q1730" s="23">
        <f>0.00039*N1730</f>
        <v>0</v>
      </c>
      <c r="R1730" s="24"/>
      <c r="S1730" s="25" t="s">
        <v>7158</v>
      </c>
      <c r="T1730" s="25" t="s">
        <v>43</v>
      </c>
      <c r="U1730" s="5"/>
      <c r="V1730" s="5" t="s">
        <v>7154</v>
      </c>
      <c r="W1730" s="5" t="s">
        <v>46</v>
      </c>
      <c r="X1730" s="5"/>
      <c r="Y1730" s="5"/>
      <c r="Z1730" s="5" t="str">
        <f>HYPERLINK("https://knigipp.ru/api/getInfo/image/44c2b053-66cc-11ef-a265-00155d82e908")</f>
        <v>https://knigipp.ru/api/getInfo/image/44c2b053-66cc-11ef-a265-00155d82e908</v>
      </c>
      <c r="AA1730" s="33">
        <v>32</v>
      </c>
      <c r="AB1730" s="5"/>
      <c r="AC1730" s="5" t="s">
        <v>96</v>
      </c>
      <c r="AD1730" s="5"/>
      <c r="AE1730" s="5" t="s">
        <v>49</v>
      </c>
      <c r="AF1730" s="5"/>
      <c r="AG1730" s="5"/>
      <c r="AH1730" s="5" t="s">
        <v>7059</v>
      </c>
    </row>
    <row r="1731" spans="2:34" ht="22.95" customHeight="1" outlineLevel="3" x14ac:dyDescent="0.2">
      <c r="B1731" s="74" t="s">
        <v>7159</v>
      </c>
      <c r="C1731" s="74"/>
      <c r="D1731" s="74"/>
    </row>
    <row r="1732" spans="2:34" ht="21" customHeight="1" outlineLevel="4" x14ac:dyDescent="0.2">
      <c r="B1732" s="42">
        <v>1340</v>
      </c>
      <c r="C1732" s="5" t="s">
        <v>7160</v>
      </c>
      <c r="D1732" s="5" t="s">
        <v>7161</v>
      </c>
      <c r="E1732" s="6" t="s">
        <v>7162</v>
      </c>
      <c r="F1732" s="10"/>
      <c r="G1732" s="11" t="s">
        <v>7163</v>
      </c>
      <c r="H1732" s="12">
        <v>20</v>
      </c>
      <c r="I1732" s="13" t="s">
        <v>41</v>
      </c>
      <c r="J1732" s="13"/>
      <c r="K1732" s="13"/>
      <c r="L1732" s="4">
        <v>3</v>
      </c>
      <c r="M1732" s="14">
        <f>237*(1-P3/100)</f>
        <v>237</v>
      </c>
      <c r="N1732" s="15"/>
      <c r="O1732" s="13">
        <f>M1732*N1732</f>
        <v>0</v>
      </c>
      <c r="P1732" s="22">
        <f>0.318*N1732</f>
        <v>0</v>
      </c>
      <c r="Q1732" s="23">
        <f>0.00082*N1732</f>
        <v>0</v>
      </c>
      <c r="R1732" s="24"/>
      <c r="S1732" s="25" t="s">
        <v>7164</v>
      </c>
      <c r="T1732" s="25" t="s">
        <v>43</v>
      </c>
      <c r="U1732" s="5"/>
      <c r="V1732" s="5"/>
      <c r="W1732" s="5" t="s">
        <v>46</v>
      </c>
      <c r="X1732" s="5"/>
      <c r="Y1732" s="5"/>
      <c r="Z1732" s="5" t="str">
        <f>HYPERLINK("https://knigipp.ru/api/getInfo/image/8c91e5df-cb99-11ec-a212-ac1f6b442185")</f>
        <v>https://knigipp.ru/api/getInfo/image/8c91e5df-cb99-11ec-a212-ac1f6b442185</v>
      </c>
      <c r="AA1732" s="33">
        <v>80</v>
      </c>
      <c r="AB1732" s="5"/>
      <c r="AC1732" s="5" t="s">
        <v>48</v>
      </c>
      <c r="AD1732" s="5"/>
      <c r="AE1732" s="5" t="s">
        <v>49</v>
      </c>
      <c r="AF1732" s="5"/>
      <c r="AG1732" s="5"/>
      <c r="AH1732" s="5" t="s">
        <v>6942</v>
      </c>
    </row>
    <row r="1733" spans="2:34" ht="21" customHeight="1" outlineLevel="4" x14ac:dyDescent="0.2">
      <c r="B1733" s="42">
        <v>1341</v>
      </c>
      <c r="C1733" s="5" t="s">
        <v>7165</v>
      </c>
      <c r="D1733" s="5" t="s">
        <v>7166</v>
      </c>
      <c r="E1733" s="6" t="s">
        <v>7167</v>
      </c>
      <c r="F1733" s="10"/>
      <c r="G1733" s="11" t="s">
        <v>7163</v>
      </c>
      <c r="H1733" s="12">
        <v>20</v>
      </c>
      <c r="I1733" s="13" t="s">
        <v>41</v>
      </c>
      <c r="J1733" s="13"/>
      <c r="K1733" s="13"/>
      <c r="L1733" s="4">
        <v>3</v>
      </c>
      <c r="M1733" s="14">
        <f>237*(1-P3/100)</f>
        <v>237</v>
      </c>
      <c r="N1733" s="15"/>
      <c r="O1733" s="13">
        <f>M1733*N1733</f>
        <v>0</v>
      </c>
      <c r="P1733" s="13">
        <v>0</v>
      </c>
      <c r="Q1733" s="13">
        <v>0</v>
      </c>
      <c r="R1733" s="24"/>
      <c r="S1733" s="25" t="s">
        <v>7168</v>
      </c>
      <c r="T1733" s="25" t="s">
        <v>43</v>
      </c>
      <c r="U1733" s="5"/>
      <c r="V1733" s="5"/>
      <c r="W1733" s="5" t="s">
        <v>46</v>
      </c>
      <c r="X1733" s="5"/>
      <c r="Y1733" s="5"/>
      <c r="Z1733" s="5" t="str">
        <f>HYPERLINK("https://knigipp.ru/api/getInfo/image/f3ab1eb6-cb99-11ec-a212-ac1f6b442185")</f>
        <v>https://knigipp.ru/api/getInfo/image/f3ab1eb6-cb99-11ec-a212-ac1f6b442185</v>
      </c>
      <c r="AA1733" s="33">
        <v>80</v>
      </c>
      <c r="AB1733" s="5"/>
      <c r="AC1733" s="5" t="s">
        <v>48</v>
      </c>
      <c r="AD1733" s="5"/>
      <c r="AE1733" s="5" t="s">
        <v>49</v>
      </c>
      <c r="AF1733" s="5"/>
      <c r="AG1733" s="5"/>
      <c r="AH1733" s="5" t="s">
        <v>6942</v>
      </c>
    </row>
    <row r="1734" spans="2:34" ht="22.95" customHeight="1" outlineLevel="3" x14ac:dyDescent="0.2">
      <c r="B1734" s="74" t="s">
        <v>7169</v>
      </c>
      <c r="C1734" s="74"/>
      <c r="D1734" s="74"/>
    </row>
    <row r="1735" spans="2:34" ht="21" customHeight="1" outlineLevel="4" x14ac:dyDescent="0.2">
      <c r="B1735" s="42">
        <v>1342</v>
      </c>
      <c r="C1735" s="5" t="s">
        <v>7170</v>
      </c>
      <c r="D1735" s="5" t="s">
        <v>7171</v>
      </c>
      <c r="E1735" s="6" t="s">
        <v>7172</v>
      </c>
      <c r="F1735" s="10"/>
      <c r="G1735" s="11" t="s">
        <v>7173</v>
      </c>
      <c r="H1735" s="12">
        <v>20</v>
      </c>
      <c r="I1735" s="13" t="s">
        <v>371</v>
      </c>
      <c r="J1735" s="13"/>
      <c r="K1735" s="13"/>
      <c r="L1735" s="4">
        <v>3</v>
      </c>
      <c r="M1735" s="14">
        <f>249*(1-P3/100)</f>
        <v>249</v>
      </c>
      <c r="N1735" s="15"/>
      <c r="O1735" s="13">
        <f>M1735*N1735</f>
        <v>0</v>
      </c>
      <c r="P1735" s="22">
        <f>0.089*N1735</f>
        <v>0</v>
      </c>
      <c r="Q1735" s="23">
        <f>0.00019*N1735</f>
        <v>0</v>
      </c>
      <c r="R1735" s="24"/>
      <c r="S1735" s="25" t="s">
        <v>7174</v>
      </c>
      <c r="T1735" s="25" t="s">
        <v>43</v>
      </c>
      <c r="U1735" s="5"/>
      <c r="V1735" s="5" t="s">
        <v>7175</v>
      </c>
      <c r="W1735" s="5" t="s">
        <v>2731</v>
      </c>
      <c r="X1735" s="5"/>
      <c r="Y1735" s="5"/>
      <c r="Z1735" s="5" t="str">
        <f>HYPERLINK("https://knigipp.ru/api/getInfo/image/7d9e211c-84c9-11f0-a284-00155d82e908")</f>
        <v>https://knigipp.ru/api/getInfo/image/7d9e211c-84c9-11f0-a284-00155d82e908</v>
      </c>
      <c r="AA1735" s="33">
        <v>48</v>
      </c>
      <c r="AB1735" s="5" t="s">
        <v>2259</v>
      </c>
      <c r="AC1735" s="5" t="s">
        <v>219</v>
      </c>
      <c r="AD1735" s="5"/>
      <c r="AE1735" s="5" t="s">
        <v>49</v>
      </c>
      <c r="AF1735" s="5"/>
      <c r="AG1735" s="5"/>
      <c r="AH1735" s="5" t="s">
        <v>2908</v>
      </c>
    </row>
    <row r="1736" spans="2:34" ht="22.95" customHeight="1" outlineLevel="3" x14ac:dyDescent="0.2">
      <c r="B1736" s="74" t="s">
        <v>7176</v>
      </c>
      <c r="C1736" s="74"/>
      <c r="D1736" s="74"/>
    </row>
    <row r="1737" spans="2:34" ht="21" customHeight="1" outlineLevel="4" x14ac:dyDescent="0.2">
      <c r="B1737" s="42">
        <v>1343</v>
      </c>
      <c r="C1737" s="5" t="s">
        <v>7177</v>
      </c>
      <c r="D1737" s="5" t="s">
        <v>7178</v>
      </c>
      <c r="E1737" s="6" t="s">
        <v>7179</v>
      </c>
      <c r="F1737" s="10"/>
      <c r="G1737" s="11" t="s">
        <v>7180</v>
      </c>
      <c r="H1737" s="12">
        <v>50</v>
      </c>
      <c r="I1737" s="13" t="s">
        <v>41</v>
      </c>
      <c r="J1737" s="13"/>
      <c r="K1737" s="13"/>
      <c r="L1737" s="4">
        <v>8</v>
      </c>
      <c r="M1737" s="14">
        <f>73*(1-P3/100)</f>
        <v>73</v>
      </c>
      <c r="N1737" s="15"/>
      <c r="O1737" s="13">
        <f t="shared" ref="O1737:O1748" si="74">M1737*N1737</f>
        <v>0</v>
      </c>
      <c r="P1737" s="22">
        <f>0.063*N1737</f>
        <v>0</v>
      </c>
      <c r="Q1737" s="23">
        <f>0.00022*N1737</f>
        <v>0</v>
      </c>
      <c r="R1737" s="24"/>
      <c r="S1737" s="25" t="s">
        <v>7181</v>
      </c>
      <c r="T1737" s="25" t="s">
        <v>43</v>
      </c>
      <c r="U1737" s="5"/>
      <c r="V1737" s="5" t="s">
        <v>7182</v>
      </c>
      <c r="W1737" s="5" t="s">
        <v>46</v>
      </c>
      <c r="X1737" s="5" t="s">
        <v>362</v>
      </c>
      <c r="Y1737" s="5"/>
      <c r="Z1737" s="5" t="str">
        <f>HYPERLINK("https://knigipp.ru/api/getInfo/image/4ed6cffe-1f7f-11e7-b743-5cf3fc4a2490")</f>
        <v>https://knigipp.ru/api/getInfo/image/4ed6cffe-1f7f-11e7-b743-5cf3fc4a2490</v>
      </c>
      <c r="AA1737" s="33">
        <v>16</v>
      </c>
      <c r="AB1737" s="5"/>
      <c r="AC1737" s="5" t="s">
        <v>96</v>
      </c>
      <c r="AD1737" s="5"/>
      <c r="AE1737" s="5" t="s">
        <v>49</v>
      </c>
      <c r="AF1737" s="5"/>
      <c r="AG1737" s="5" t="s">
        <v>7183</v>
      </c>
      <c r="AH1737" s="5" t="s">
        <v>472</v>
      </c>
    </row>
    <row r="1738" spans="2:34" ht="21" customHeight="1" outlineLevel="4" x14ac:dyDescent="0.2">
      <c r="B1738" s="42">
        <v>1344</v>
      </c>
      <c r="C1738" s="5" t="s">
        <v>7184</v>
      </c>
      <c r="D1738" s="5" t="s">
        <v>7185</v>
      </c>
      <c r="E1738" s="6" t="s">
        <v>7186</v>
      </c>
      <c r="F1738" s="10"/>
      <c r="G1738" s="11" t="s">
        <v>7187</v>
      </c>
      <c r="H1738" s="12">
        <v>50</v>
      </c>
      <c r="I1738" s="13" t="s">
        <v>41</v>
      </c>
      <c r="J1738" s="13"/>
      <c r="K1738" s="13"/>
      <c r="L1738" s="4">
        <v>8</v>
      </c>
      <c r="M1738" s="14">
        <f>73*(1-P3/100)</f>
        <v>73</v>
      </c>
      <c r="N1738" s="15"/>
      <c r="O1738" s="13">
        <f t="shared" si="74"/>
        <v>0</v>
      </c>
      <c r="P1738" s="22">
        <f>0.066*N1738</f>
        <v>0</v>
      </c>
      <c r="Q1738" s="23">
        <f>0.00011*N1738</f>
        <v>0</v>
      </c>
      <c r="R1738" s="24"/>
      <c r="S1738" s="25" t="s">
        <v>7188</v>
      </c>
      <c r="T1738" s="25" t="s">
        <v>43</v>
      </c>
      <c r="U1738" s="5"/>
      <c r="V1738" s="5" t="s">
        <v>7189</v>
      </c>
      <c r="W1738" s="5" t="s">
        <v>46</v>
      </c>
      <c r="X1738" s="5"/>
      <c r="Y1738" s="5"/>
      <c r="Z1738" s="5" t="str">
        <f>HYPERLINK("https://knigipp.ru/api/getInfo/image/818a8843-0659-11f0-a277-00155d82e908")</f>
        <v>https://knigipp.ru/api/getInfo/image/818a8843-0659-11f0-a277-00155d82e908</v>
      </c>
      <c r="AA1738" s="33">
        <v>16</v>
      </c>
      <c r="AB1738" s="5"/>
      <c r="AC1738" s="5" t="s">
        <v>96</v>
      </c>
      <c r="AD1738" s="5"/>
      <c r="AE1738" s="5" t="s">
        <v>49</v>
      </c>
      <c r="AF1738" s="5"/>
      <c r="AG1738" s="5" t="s">
        <v>7183</v>
      </c>
      <c r="AH1738" s="5" t="s">
        <v>472</v>
      </c>
    </row>
    <row r="1739" spans="2:34" ht="21" customHeight="1" outlineLevel="4" x14ac:dyDescent="0.2">
      <c r="B1739" s="42">
        <v>1345</v>
      </c>
      <c r="C1739" s="5" t="s">
        <v>7190</v>
      </c>
      <c r="D1739" s="5" t="s">
        <v>7191</v>
      </c>
      <c r="E1739" s="6" t="s">
        <v>7192</v>
      </c>
      <c r="F1739" s="10"/>
      <c r="G1739" s="11" t="s">
        <v>7180</v>
      </c>
      <c r="H1739" s="12">
        <v>50</v>
      </c>
      <c r="I1739" s="13" t="s">
        <v>41</v>
      </c>
      <c r="J1739" s="13"/>
      <c r="K1739" s="13"/>
      <c r="L1739" s="4">
        <v>8</v>
      </c>
      <c r="M1739" s="14">
        <f>73*(1-P3/100)</f>
        <v>73</v>
      </c>
      <c r="N1739" s="15"/>
      <c r="O1739" s="13">
        <f t="shared" si="74"/>
        <v>0</v>
      </c>
      <c r="P1739" s="22">
        <f>0.047*N1739</f>
        <v>0</v>
      </c>
      <c r="Q1739" s="23">
        <f>0.00022*N1739</f>
        <v>0</v>
      </c>
      <c r="R1739" s="24"/>
      <c r="S1739" s="25" t="s">
        <v>7193</v>
      </c>
      <c r="T1739" s="25" t="s">
        <v>43</v>
      </c>
      <c r="U1739" s="5"/>
      <c r="V1739" s="5" t="s">
        <v>7194</v>
      </c>
      <c r="W1739" s="5" t="s">
        <v>46</v>
      </c>
      <c r="X1739" s="5" t="s">
        <v>362</v>
      </c>
      <c r="Y1739" s="5"/>
      <c r="Z1739" s="5" t="str">
        <f>HYPERLINK("https://knigipp.ru/api/getInfo/image/423d6393-1f7f-11e7-b743-5cf3fc4a2490")</f>
        <v>https://knigipp.ru/api/getInfo/image/423d6393-1f7f-11e7-b743-5cf3fc4a2490</v>
      </c>
      <c r="AA1739" s="33">
        <v>16</v>
      </c>
      <c r="AB1739" s="5"/>
      <c r="AC1739" s="5" t="s">
        <v>96</v>
      </c>
      <c r="AD1739" s="5"/>
      <c r="AE1739" s="5" t="s">
        <v>49</v>
      </c>
      <c r="AF1739" s="5"/>
      <c r="AG1739" s="5" t="s">
        <v>7183</v>
      </c>
      <c r="AH1739" s="5" t="s">
        <v>472</v>
      </c>
    </row>
    <row r="1740" spans="2:34" ht="21" customHeight="1" outlineLevel="4" x14ac:dyDescent="0.2">
      <c r="B1740" s="42">
        <v>1346</v>
      </c>
      <c r="C1740" s="5" t="s">
        <v>7195</v>
      </c>
      <c r="D1740" s="5" t="s">
        <v>7196</v>
      </c>
      <c r="E1740" s="6" t="s">
        <v>7197</v>
      </c>
      <c r="F1740" s="10"/>
      <c r="G1740" s="11" t="s">
        <v>7180</v>
      </c>
      <c r="H1740" s="12">
        <v>50</v>
      </c>
      <c r="I1740" s="13" t="s">
        <v>41</v>
      </c>
      <c r="J1740" s="13"/>
      <c r="K1740" s="13"/>
      <c r="L1740" s="4">
        <v>8</v>
      </c>
      <c r="M1740" s="14">
        <f>73*(1-P3/100)</f>
        <v>73</v>
      </c>
      <c r="N1740" s="15"/>
      <c r="O1740" s="13">
        <f t="shared" si="74"/>
        <v>0</v>
      </c>
      <c r="P1740" s="22">
        <f>0.198*N1740</f>
        <v>0</v>
      </c>
      <c r="Q1740" s="30">
        <f>0.0005*N1740</f>
        <v>0</v>
      </c>
      <c r="R1740" s="24"/>
      <c r="S1740" s="25" t="s">
        <v>7198</v>
      </c>
      <c r="T1740" s="25" t="s">
        <v>43</v>
      </c>
      <c r="U1740" s="5"/>
      <c r="V1740" s="5" t="s">
        <v>7199</v>
      </c>
      <c r="W1740" s="5" t="s">
        <v>46</v>
      </c>
      <c r="X1740" s="5"/>
      <c r="Y1740" s="5"/>
      <c r="Z1740" s="5" t="str">
        <f>HYPERLINK("https://knigipp.ru/api/getInfo/image/df752305-a17f-11ea-a248-ac1f6b442184")</f>
        <v>https://knigipp.ru/api/getInfo/image/df752305-a17f-11ea-a248-ac1f6b442184</v>
      </c>
      <c r="AA1740" s="33">
        <v>16</v>
      </c>
      <c r="AB1740" s="5"/>
      <c r="AC1740" s="5" t="s">
        <v>96</v>
      </c>
      <c r="AD1740" s="5"/>
      <c r="AE1740" s="5" t="s">
        <v>49</v>
      </c>
      <c r="AF1740" s="5"/>
      <c r="AG1740" s="5" t="s">
        <v>7183</v>
      </c>
      <c r="AH1740" s="5" t="s">
        <v>472</v>
      </c>
    </row>
    <row r="1741" spans="2:34" ht="21" customHeight="1" outlineLevel="4" x14ac:dyDescent="0.2">
      <c r="B1741" s="42">
        <v>1347</v>
      </c>
      <c r="C1741" s="5" t="s">
        <v>7200</v>
      </c>
      <c r="D1741" s="5" t="s">
        <v>7201</v>
      </c>
      <c r="E1741" s="6" t="s">
        <v>7202</v>
      </c>
      <c r="F1741" s="10"/>
      <c r="G1741" s="11" t="s">
        <v>7180</v>
      </c>
      <c r="H1741" s="12">
        <v>50</v>
      </c>
      <c r="I1741" s="13" t="s">
        <v>41</v>
      </c>
      <c r="J1741" s="13"/>
      <c r="K1741" s="13"/>
      <c r="L1741" s="4">
        <v>8</v>
      </c>
      <c r="M1741" s="14">
        <f>73*(1-P3/100)</f>
        <v>73</v>
      </c>
      <c r="N1741" s="15"/>
      <c r="O1741" s="13">
        <f t="shared" si="74"/>
        <v>0</v>
      </c>
      <c r="P1741" s="22">
        <f>0.133*N1741</f>
        <v>0</v>
      </c>
      <c r="Q1741" s="23">
        <f>0.00033*N1741</f>
        <v>0</v>
      </c>
      <c r="R1741" s="24"/>
      <c r="S1741" s="25" t="s">
        <v>7203</v>
      </c>
      <c r="T1741" s="25" t="s">
        <v>43</v>
      </c>
      <c r="U1741" s="5"/>
      <c r="V1741" s="5" t="s">
        <v>7204</v>
      </c>
      <c r="W1741" s="5" t="s">
        <v>46</v>
      </c>
      <c r="X1741" s="5" t="s">
        <v>362</v>
      </c>
      <c r="Y1741" s="5"/>
      <c r="Z1741" s="5" t="str">
        <f>HYPERLINK("https://knigipp.ru/api/getInfo/image/2b032f12-1f7f-11e7-b743-5cf3fc4a2490")</f>
        <v>https://knigipp.ru/api/getInfo/image/2b032f12-1f7f-11e7-b743-5cf3fc4a2490</v>
      </c>
      <c r="AA1741" s="33">
        <v>16</v>
      </c>
      <c r="AB1741" s="5"/>
      <c r="AC1741" s="5" t="s">
        <v>96</v>
      </c>
      <c r="AD1741" s="5"/>
      <c r="AE1741" s="5" t="s">
        <v>49</v>
      </c>
      <c r="AF1741" s="5"/>
      <c r="AG1741" s="5" t="s">
        <v>7183</v>
      </c>
      <c r="AH1741" s="5" t="s">
        <v>472</v>
      </c>
    </row>
    <row r="1742" spans="2:34" ht="21" customHeight="1" outlineLevel="4" x14ac:dyDescent="0.2">
      <c r="B1742" s="42">
        <v>1348</v>
      </c>
      <c r="C1742" s="5" t="s">
        <v>7205</v>
      </c>
      <c r="D1742" s="5" t="s">
        <v>7206</v>
      </c>
      <c r="E1742" s="6" t="s">
        <v>7207</v>
      </c>
      <c r="F1742" s="10"/>
      <c r="G1742" s="11" t="s">
        <v>7180</v>
      </c>
      <c r="H1742" s="12">
        <v>50</v>
      </c>
      <c r="I1742" s="13" t="s">
        <v>41</v>
      </c>
      <c r="J1742" s="13"/>
      <c r="K1742" s="13"/>
      <c r="L1742" s="4">
        <v>8</v>
      </c>
      <c r="M1742" s="14">
        <f>73*(1-P3/100)</f>
        <v>73</v>
      </c>
      <c r="N1742" s="15"/>
      <c r="O1742" s="13">
        <f t="shared" si="74"/>
        <v>0</v>
      </c>
      <c r="P1742" s="22">
        <f>0.081*N1742</f>
        <v>0</v>
      </c>
      <c r="Q1742" s="23">
        <f>0.00022*N1742</f>
        <v>0</v>
      </c>
      <c r="R1742" s="24"/>
      <c r="S1742" s="25" t="s">
        <v>7208</v>
      </c>
      <c r="T1742" s="25" t="s">
        <v>43</v>
      </c>
      <c r="U1742" s="5"/>
      <c r="V1742" s="5" t="s">
        <v>7209</v>
      </c>
      <c r="W1742" s="5" t="s">
        <v>46</v>
      </c>
      <c r="X1742" s="5"/>
      <c r="Y1742" s="5"/>
      <c r="Z1742" s="5" t="str">
        <f>HYPERLINK("https://knigipp.ru/api/getInfo/image/f8fa5f58-a17f-11ea-a248-ac1f6b442184")</f>
        <v>https://knigipp.ru/api/getInfo/image/f8fa5f58-a17f-11ea-a248-ac1f6b442184</v>
      </c>
      <c r="AA1742" s="33">
        <v>16</v>
      </c>
      <c r="AB1742" s="5"/>
      <c r="AC1742" s="5" t="s">
        <v>96</v>
      </c>
      <c r="AD1742" s="5"/>
      <c r="AE1742" s="5" t="s">
        <v>49</v>
      </c>
      <c r="AF1742" s="5"/>
      <c r="AG1742" s="5" t="s">
        <v>7183</v>
      </c>
      <c r="AH1742" s="5" t="s">
        <v>472</v>
      </c>
    </row>
    <row r="1743" spans="2:34" ht="21" customHeight="1" outlineLevel="4" x14ac:dyDescent="0.2">
      <c r="B1743" s="42">
        <v>1349</v>
      </c>
      <c r="C1743" s="5" t="s">
        <v>7210</v>
      </c>
      <c r="D1743" s="5" t="s">
        <v>7211</v>
      </c>
      <c r="E1743" s="6" t="s">
        <v>7212</v>
      </c>
      <c r="F1743" s="10"/>
      <c r="G1743" s="11" t="s">
        <v>7180</v>
      </c>
      <c r="H1743" s="12">
        <v>50</v>
      </c>
      <c r="I1743" s="13" t="s">
        <v>41</v>
      </c>
      <c r="J1743" s="13"/>
      <c r="K1743" s="13"/>
      <c r="L1743" s="4">
        <v>8</v>
      </c>
      <c r="M1743" s="14">
        <f>73*(1-P3/100)</f>
        <v>73</v>
      </c>
      <c r="N1743" s="15"/>
      <c r="O1743" s="13">
        <f t="shared" si="74"/>
        <v>0</v>
      </c>
      <c r="P1743" s="22">
        <f>0.063*N1743</f>
        <v>0</v>
      </c>
      <c r="Q1743" s="23">
        <f>0.00028*N1743</f>
        <v>0</v>
      </c>
      <c r="R1743" s="24"/>
      <c r="S1743" s="25" t="s">
        <v>7213</v>
      </c>
      <c r="T1743" s="25" t="s">
        <v>43</v>
      </c>
      <c r="U1743" s="5"/>
      <c r="V1743" s="5" t="s">
        <v>7214</v>
      </c>
      <c r="W1743" s="5" t="s">
        <v>46</v>
      </c>
      <c r="X1743" s="5"/>
      <c r="Y1743" s="5"/>
      <c r="Z1743" s="5" t="str">
        <f>HYPERLINK("https://knigipp.ru/api/getInfo/image/30ec28f7-a180-11ea-a248-ac1f6b442184")</f>
        <v>https://knigipp.ru/api/getInfo/image/30ec28f7-a180-11ea-a248-ac1f6b442184</v>
      </c>
      <c r="AA1743" s="33">
        <v>16</v>
      </c>
      <c r="AB1743" s="5"/>
      <c r="AC1743" s="5" t="s">
        <v>96</v>
      </c>
      <c r="AD1743" s="5"/>
      <c r="AE1743" s="5" t="s">
        <v>49</v>
      </c>
      <c r="AF1743" s="5"/>
      <c r="AG1743" s="5" t="s">
        <v>7183</v>
      </c>
      <c r="AH1743" s="5" t="s">
        <v>472</v>
      </c>
    </row>
    <row r="1744" spans="2:34" ht="21" customHeight="1" outlineLevel="4" x14ac:dyDescent="0.2">
      <c r="B1744" s="42">
        <v>1350</v>
      </c>
      <c r="C1744" s="5" t="s">
        <v>7215</v>
      </c>
      <c r="D1744" s="5" t="s">
        <v>7216</v>
      </c>
      <c r="E1744" s="6" t="s">
        <v>7217</v>
      </c>
      <c r="F1744" s="10"/>
      <c r="G1744" s="11" t="s">
        <v>7187</v>
      </c>
      <c r="H1744" s="12">
        <v>50</v>
      </c>
      <c r="I1744" s="13" t="s">
        <v>41</v>
      </c>
      <c r="J1744" s="13"/>
      <c r="K1744" s="13"/>
      <c r="L1744" s="4">
        <v>8</v>
      </c>
      <c r="M1744" s="14">
        <f>73*(1-P3/100)</f>
        <v>73</v>
      </c>
      <c r="N1744" s="15"/>
      <c r="O1744" s="13">
        <f t="shared" si="74"/>
        <v>0</v>
      </c>
      <c r="P1744" s="22">
        <f>0.066*N1744</f>
        <v>0</v>
      </c>
      <c r="Q1744" s="23">
        <f>0.00011*N1744</f>
        <v>0</v>
      </c>
      <c r="R1744" s="24"/>
      <c r="S1744" s="25" t="s">
        <v>7218</v>
      </c>
      <c r="T1744" s="25" t="s">
        <v>43</v>
      </c>
      <c r="U1744" s="5"/>
      <c r="V1744" s="5" t="s">
        <v>7219</v>
      </c>
      <c r="W1744" s="5" t="s">
        <v>46</v>
      </c>
      <c r="X1744" s="5"/>
      <c r="Y1744" s="5"/>
      <c r="Z1744" s="5" t="str">
        <f>HYPERLINK("https://knigipp.ru/api/getInfo/image/fa53afad-0659-11f0-a277-00155d82e908")</f>
        <v>https://knigipp.ru/api/getInfo/image/fa53afad-0659-11f0-a277-00155d82e908</v>
      </c>
      <c r="AA1744" s="33">
        <v>16</v>
      </c>
      <c r="AB1744" s="5"/>
      <c r="AC1744" s="5" t="s">
        <v>96</v>
      </c>
      <c r="AD1744" s="5"/>
      <c r="AE1744" s="5" t="s">
        <v>49</v>
      </c>
      <c r="AF1744" s="5"/>
      <c r="AG1744" s="5" t="s">
        <v>7183</v>
      </c>
      <c r="AH1744" s="5" t="s">
        <v>472</v>
      </c>
    </row>
    <row r="1745" spans="2:34" ht="21" customHeight="1" outlineLevel="4" x14ac:dyDescent="0.2">
      <c r="B1745" s="42">
        <v>1351</v>
      </c>
      <c r="C1745" s="5" t="s">
        <v>7220</v>
      </c>
      <c r="D1745" s="5" t="s">
        <v>7221</v>
      </c>
      <c r="E1745" s="6" t="s">
        <v>7222</v>
      </c>
      <c r="F1745" s="10"/>
      <c r="G1745" s="11" t="s">
        <v>7180</v>
      </c>
      <c r="H1745" s="12">
        <v>50</v>
      </c>
      <c r="I1745" s="13" t="s">
        <v>41</v>
      </c>
      <c r="J1745" s="13"/>
      <c r="K1745" s="13"/>
      <c r="L1745" s="4">
        <v>8</v>
      </c>
      <c r="M1745" s="14">
        <f>73*(1-P3/100)</f>
        <v>73</v>
      </c>
      <c r="N1745" s="15"/>
      <c r="O1745" s="13">
        <f t="shared" si="74"/>
        <v>0</v>
      </c>
      <c r="P1745" s="22">
        <f>0.064*N1745</f>
        <v>0</v>
      </c>
      <c r="Q1745" s="23">
        <f>0.00028*N1745</f>
        <v>0</v>
      </c>
      <c r="R1745" s="24"/>
      <c r="S1745" s="25" t="s">
        <v>7223</v>
      </c>
      <c r="T1745" s="25" t="s">
        <v>43</v>
      </c>
      <c r="U1745" s="5"/>
      <c r="V1745" s="5" t="s">
        <v>7219</v>
      </c>
      <c r="W1745" s="5" t="s">
        <v>46</v>
      </c>
      <c r="X1745" s="5"/>
      <c r="Y1745" s="5"/>
      <c r="Z1745" s="5" t="str">
        <f>HYPERLINK("https://knigipp.ru/api/getInfo/image/15555264-a180-11ea-a248-ac1f6b442184")</f>
        <v>https://knigipp.ru/api/getInfo/image/15555264-a180-11ea-a248-ac1f6b442184</v>
      </c>
      <c r="AA1745" s="33">
        <v>16</v>
      </c>
      <c r="AB1745" s="5"/>
      <c r="AC1745" s="5" t="s">
        <v>96</v>
      </c>
      <c r="AD1745" s="5"/>
      <c r="AE1745" s="5" t="s">
        <v>49</v>
      </c>
      <c r="AF1745" s="5"/>
      <c r="AG1745" s="5" t="s">
        <v>7183</v>
      </c>
      <c r="AH1745" s="5" t="s">
        <v>472</v>
      </c>
    </row>
    <row r="1746" spans="2:34" ht="21" customHeight="1" outlineLevel="4" x14ac:dyDescent="0.2">
      <c r="B1746" s="42">
        <v>1352</v>
      </c>
      <c r="C1746" s="5" t="s">
        <v>7224</v>
      </c>
      <c r="D1746" s="5" t="s">
        <v>7225</v>
      </c>
      <c r="E1746" s="6" t="s">
        <v>7226</v>
      </c>
      <c r="F1746" s="10"/>
      <c r="G1746" s="11" t="s">
        <v>7187</v>
      </c>
      <c r="H1746" s="12">
        <v>50</v>
      </c>
      <c r="I1746" s="13" t="s">
        <v>41</v>
      </c>
      <c r="J1746" s="13"/>
      <c r="K1746" s="13"/>
      <c r="L1746" s="4">
        <v>8</v>
      </c>
      <c r="M1746" s="14">
        <f>73*(1-P3/100)</f>
        <v>73</v>
      </c>
      <c r="N1746" s="15"/>
      <c r="O1746" s="13">
        <f t="shared" si="74"/>
        <v>0</v>
      </c>
      <c r="P1746" s="22">
        <f>0.066*N1746</f>
        <v>0</v>
      </c>
      <c r="Q1746" s="23">
        <f>0.00011*N1746</f>
        <v>0</v>
      </c>
      <c r="R1746" s="24"/>
      <c r="S1746" s="25" t="s">
        <v>7227</v>
      </c>
      <c r="T1746" s="25" t="s">
        <v>43</v>
      </c>
      <c r="U1746" s="5"/>
      <c r="V1746" s="5" t="s">
        <v>7219</v>
      </c>
      <c r="W1746" s="5" t="s">
        <v>46</v>
      </c>
      <c r="X1746" s="5"/>
      <c r="Y1746" s="5"/>
      <c r="Z1746" s="5" t="str">
        <f>HYPERLINK("https://knigipp.ru/api/getInfo/image/d153ba0e-0659-11f0-a277-00155d82e908")</f>
        <v>https://knigipp.ru/api/getInfo/image/d153ba0e-0659-11f0-a277-00155d82e908</v>
      </c>
      <c r="AA1746" s="33">
        <v>16</v>
      </c>
      <c r="AB1746" s="5"/>
      <c r="AC1746" s="5" t="s">
        <v>96</v>
      </c>
      <c r="AD1746" s="5"/>
      <c r="AE1746" s="5" t="s">
        <v>49</v>
      </c>
      <c r="AF1746" s="5"/>
      <c r="AG1746" s="5" t="s">
        <v>7183</v>
      </c>
      <c r="AH1746" s="5" t="s">
        <v>472</v>
      </c>
    </row>
    <row r="1747" spans="2:34" ht="21" customHeight="1" outlineLevel="4" x14ac:dyDescent="0.2">
      <c r="B1747" s="42">
        <v>1353</v>
      </c>
      <c r="C1747" s="5" t="s">
        <v>7228</v>
      </c>
      <c r="D1747" s="5" t="s">
        <v>7229</v>
      </c>
      <c r="E1747" s="6" t="s">
        <v>7230</v>
      </c>
      <c r="F1747" s="10"/>
      <c r="G1747" s="11" t="s">
        <v>7187</v>
      </c>
      <c r="H1747" s="12">
        <v>50</v>
      </c>
      <c r="I1747" s="13" t="s">
        <v>41</v>
      </c>
      <c r="J1747" s="13"/>
      <c r="K1747" s="13"/>
      <c r="L1747" s="4">
        <v>8</v>
      </c>
      <c r="M1747" s="14">
        <f>73*(1-P3/100)</f>
        <v>73</v>
      </c>
      <c r="N1747" s="15"/>
      <c r="O1747" s="13">
        <f t="shared" si="74"/>
        <v>0</v>
      </c>
      <c r="P1747" s="22">
        <f>0.066*N1747</f>
        <v>0</v>
      </c>
      <c r="Q1747" s="23">
        <f>0.00011*N1747</f>
        <v>0</v>
      </c>
      <c r="R1747" s="24"/>
      <c r="S1747" s="25" t="s">
        <v>7231</v>
      </c>
      <c r="T1747" s="25" t="s">
        <v>43</v>
      </c>
      <c r="U1747" s="5"/>
      <c r="V1747" s="5" t="s">
        <v>7219</v>
      </c>
      <c r="W1747" s="5" t="s">
        <v>46</v>
      </c>
      <c r="X1747" s="5"/>
      <c r="Y1747" s="5"/>
      <c r="Z1747" s="5" t="str">
        <f>HYPERLINK("https://knigipp.ru/api/getInfo/image/a3b37938-0659-11f0-a277-00155d82e908")</f>
        <v>https://knigipp.ru/api/getInfo/image/a3b37938-0659-11f0-a277-00155d82e908</v>
      </c>
      <c r="AA1747" s="33">
        <v>16</v>
      </c>
      <c r="AB1747" s="5"/>
      <c r="AC1747" s="5" t="s">
        <v>96</v>
      </c>
      <c r="AD1747" s="5"/>
      <c r="AE1747" s="5" t="s">
        <v>49</v>
      </c>
      <c r="AF1747" s="5"/>
      <c r="AG1747" s="5" t="s">
        <v>7183</v>
      </c>
      <c r="AH1747" s="5" t="s">
        <v>472</v>
      </c>
    </row>
    <row r="1748" spans="2:34" ht="21" customHeight="1" outlineLevel="4" x14ac:dyDescent="0.2">
      <c r="B1748" s="42">
        <v>1354</v>
      </c>
      <c r="C1748" s="5" t="s">
        <v>7232</v>
      </c>
      <c r="D1748" s="5" t="s">
        <v>7233</v>
      </c>
      <c r="E1748" s="6" t="s">
        <v>7234</v>
      </c>
      <c r="F1748" s="10"/>
      <c r="G1748" s="11" t="s">
        <v>7180</v>
      </c>
      <c r="H1748" s="12">
        <v>50</v>
      </c>
      <c r="I1748" s="13" t="s">
        <v>41</v>
      </c>
      <c r="J1748" s="13"/>
      <c r="K1748" s="13"/>
      <c r="L1748" s="4">
        <v>8</v>
      </c>
      <c r="M1748" s="14">
        <f>73*(1-P3/100)</f>
        <v>73</v>
      </c>
      <c r="N1748" s="15"/>
      <c r="O1748" s="13">
        <f t="shared" si="74"/>
        <v>0</v>
      </c>
      <c r="P1748" s="22">
        <f>0.064*N1748</f>
        <v>0</v>
      </c>
      <c r="Q1748" s="23">
        <f>0.00028*N1748</f>
        <v>0</v>
      </c>
      <c r="R1748" s="24"/>
      <c r="S1748" s="25" t="s">
        <v>7235</v>
      </c>
      <c r="T1748" s="25" t="s">
        <v>43</v>
      </c>
      <c r="U1748" s="5"/>
      <c r="V1748" s="5" t="s">
        <v>7236</v>
      </c>
      <c r="W1748" s="5" t="s">
        <v>46</v>
      </c>
      <c r="X1748" s="5" t="s">
        <v>362</v>
      </c>
      <c r="Y1748" s="5"/>
      <c r="Z1748" s="5" t="str">
        <f>HYPERLINK("https://knigipp.ru/api/getInfo/image/3914b55a-1f7f-11e7-b743-5cf3fc4a2490")</f>
        <v>https://knigipp.ru/api/getInfo/image/3914b55a-1f7f-11e7-b743-5cf3fc4a2490</v>
      </c>
      <c r="AA1748" s="33">
        <v>16</v>
      </c>
      <c r="AB1748" s="5"/>
      <c r="AC1748" s="5" t="s">
        <v>96</v>
      </c>
      <c r="AD1748" s="5"/>
      <c r="AE1748" s="5" t="s">
        <v>49</v>
      </c>
      <c r="AF1748" s="5"/>
      <c r="AG1748" s="5" t="s">
        <v>7183</v>
      </c>
      <c r="AH1748" s="5" t="s">
        <v>472</v>
      </c>
    </row>
    <row r="1749" spans="2:34" ht="22.95" customHeight="1" outlineLevel="3" x14ac:dyDescent="0.2">
      <c r="B1749" s="74" t="s">
        <v>7237</v>
      </c>
      <c r="C1749" s="74"/>
      <c r="D1749" s="74"/>
    </row>
    <row r="1750" spans="2:34" ht="21" customHeight="1" outlineLevel="4" x14ac:dyDescent="0.2">
      <c r="B1750" s="42">
        <v>1355</v>
      </c>
      <c r="C1750" s="5" t="s">
        <v>7238</v>
      </c>
      <c r="D1750" s="5" t="s">
        <v>7239</v>
      </c>
      <c r="E1750" s="6" t="s">
        <v>7240</v>
      </c>
      <c r="F1750" s="10"/>
      <c r="G1750" s="11" t="s">
        <v>7241</v>
      </c>
      <c r="H1750" s="12">
        <v>50</v>
      </c>
      <c r="I1750" s="13" t="s">
        <v>41</v>
      </c>
      <c r="J1750" s="13"/>
      <c r="K1750" s="13"/>
      <c r="L1750" s="4">
        <v>12</v>
      </c>
      <c r="M1750" s="14">
        <f>47*(1-P3/100)</f>
        <v>47</v>
      </c>
      <c r="N1750" s="15"/>
      <c r="O1750" s="13">
        <f>M1750*N1750</f>
        <v>0</v>
      </c>
      <c r="P1750" s="22">
        <f>0.133*N1750</f>
        <v>0</v>
      </c>
      <c r="Q1750" s="23">
        <f>0.00033*N1750</f>
        <v>0</v>
      </c>
      <c r="R1750" s="24"/>
      <c r="S1750" s="25" t="s">
        <v>7242</v>
      </c>
      <c r="T1750" s="25" t="s">
        <v>43</v>
      </c>
      <c r="U1750" s="5"/>
      <c r="V1750" s="5"/>
      <c r="W1750" s="5" t="s">
        <v>46</v>
      </c>
      <c r="X1750" s="5"/>
      <c r="Y1750" s="5"/>
      <c r="Z1750" s="5" t="str">
        <f>HYPERLINK("https://knigipp.ru/api/getInfo/image/79ed44fc-5098-11ee-a244-00155d82e902")</f>
        <v>https://knigipp.ru/api/getInfo/image/79ed44fc-5098-11ee-a244-00155d82e902</v>
      </c>
      <c r="AA1750" s="33">
        <v>12</v>
      </c>
      <c r="AB1750" s="5"/>
      <c r="AC1750" s="5" t="s">
        <v>96</v>
      </c>
      <c r="AD1750" s="5"/>
      <c r="AE1750" s="5" t="s">
        <v>49</v>
      </c>
      <c r="AF1750" s="5"/>
      <c r="AG1750" s="5"/>
      <c r="AH1750" s="5" t="s">
        <v>3848</v>
      </c>
    </row>
    <row r="1751" spans="2:34" ht="21" customHeight="1" outlineLevel="4" x14ac:dyDescent="0.2">
      <c r="B1751" s="42">
        <v>1356</v>
      </c>
      <c r="C1751" s="5" t="s">
        <v>7243</v>
      </c>
      <c r="D1751" s="5" t="s">
        <v>7244</v>
      </c>
      <c r="E1751" s="6" t="s">
        <v>7245</v>
      </c>
      <c r="F1751" s="10"/>
      <c r="G1751" s="11" t="s">
        <v>7241</v>
      </c>
      <c r="H1751" s="12">
        <v>50</v>
      </c>
      <c r="I1751" s="13" t="s">
        <v>41</v>
      </c>
      <c r="J1751" s="13"/>
      <c r="K1751" s="13"/>
      <c r="L1751" s="4">
        <v>12</v>
      </c>
      <c r="M1751" s="14">
        <f>47*(1-P3/100)</f>
        <v>47</v>
      </c>
      <c r="N1751" s="15"/>
      <c r="O1751" s="13">
        <f>M1751*N1751</f>
        <v>0</v>
      </c>
      <c r="P1751" s="22">
        <f>0.041*N1751</f>
        <v>0</v>
      </c>
      <c r="Q1751" s="23">
        <f>0.00033*N1751</f>
        <v>0</v>
      </c>
      <c r="R1751" s="24"/>
      <c r="S1751" s="25" t="s">
        <v>7246</v>
      </c>
      <c r="T1751" s="25" t="s">
        <v>43</v>
      </c>
      <c r="U1751" s="5"/>
      <c r="V1751" s="5"/>
      <c r="W1751" s="5" t="s">
        <v>46</v>
      </c>
      <c r="X1751" s="5"/>
      <c r="Y1751" s="5"/>
      <c r="Z1751" s="5" t="str">
        <f>HYPERLINK("https://knigipp.ru/api/getInfo/image/417aa15e-5098-11ee-a244-00155d82e902")</f>
        <v>https://knigipp.ru/api/getInfo/image/417aa15e-5098-11ee-a244-00155d82e902</v>
      </c>
      <c r="AA1751" s="33">
        <v>12</v>
      </c>
      <c r="AB1751" s="5"/>
      <c r="AC1751" s="5" t="s">
        <v>96</v>
      </c>
      <c r="AD1751" s="5"/>
      <c r="AE1751" s="5" t="s">
        <v>49</v>
      </c>
      <c r="AF1751" s="5"/>
      <c r="AG1751" s="5"/>
      <c r="AH1751" s="5" t="s">
        <v>3848</v>
      </c>
    </row>
    <row r="1752" spans="2:34" ht="21" customHeight="1" outlineLevel="4" x14ac:dyDescent="0.2">
      <c r="B1752" s="42">
        <v>1357</v>
      </c>
      <c r="C1752" s="5" t="s">
        <v>7247</v>
      </c>
      <c r="D1752" s="5" t="s">
        <v>7233</v>
      </c>
      <c r="E1752" s="6" t="s">
        <v>7248</v>
      </c>
      <c r="F1752" s="10"/>
      <c r="G1752" s="11" t="s">
        <v>7241</v>
      </c>
      <c r="H1752" s="12">
        <v>50</v>
      </c>
      <c r="I1752" s="13" t="s">
        <v>41</v>
      </c>
      <c r="J1752" s="13"/>
      <c r="K1752" s="13"/>
      <c r="L1752" s="4">
        <v>12</v>
      </c>
      <c r="M1752" s="14">
        <f>47*(1-P3/100)</f>
        <v>47</v>
      </c>
      <c r="N1752" s="15"/>
      <c r="O1752" s="13">
        <f>M1752*N1752</f>
        <v>0</v>
      </c>
      <c r="P1752" s="22">
        <f>0.064*N1752</f>
        <v>0</v>
      </c>
      <c r="Q1752" s="23">
        <f>0.00028*N1752</f>
        <v>0</v>
      </c>
      <c r="R1752" s="24"/>
      <c r="S1752" s="25" t="s">
        <v>7249</v>
      </c>
      <c r="T1752" s="25" t="s">
        <v>43</v>
      </c>
      <c r="U1752" s="5"/>
      <c r="V1752" s="5"/>
      <c r="W1752" s="5" t="s">
        <v>46</v>
      </c>
      <c r="X1752" s="5"/>
      <c r="Y1752" s="5"/>
      <c r="Z1752" s="5" t="str">
        <f>HYPERLINK("https://knigipp.ru/api/getInfo/image/1a10a0b1-5098-11ee-a244-00155d82e902")</f>
        <v>https://knigipp.ru/api/getInfo/image/1a10a0b1-5098-11ee-a244-00155d82e902</v>
      </c>
      <c r="AA1752" s="33">
        <v>12</v>
      </c>
      <c r="AB1752" s="5"/>
      <c r="AC1752" s="5" t="s">
        <v>96</v>
      </c>
      <c r="AD1752" s="5"/>
      <c r="AE1752" s="5" t="s">
        <v>49</v>
      </c>
      <c r="AF1752" s="5"/>
      <c r="AG1752" s="5"/>
      <c r="AH1752" s="5" t="s">
        <v>3848</v>
      </c>
    </row>
    <row r="1753" spans="2:34" ht="21" customHeight="1" outlineLevel="4" x14ac:dyDescent="0.2">
      <c r="B1753" s="42">
        <v>1358</v>
      </c>
      <c r="C1753" s="5" t="s">
        <v>7250</v>
      </c>
      <c r="D1753" s="5" t="s">
        <v>7251</v>
      </c>
      <c r="E1753" s="6" t="s">
        <v>7252</v>
      </c>
      <c r="F1753" s="10"/>
      <c r="G1753" s="11" t="s">
        <v>7241</v>
      </c>
      <c r="H1753" s="12">
        <v>50</v>
      </c>
      <c r="I1753" s="13" t="s">
        <v>41</v>
      </c>
      <c r="J1753" s="13"/>
      <c r="K1753" s="13"/>
      <c r="L1753" s="4">
        <v>12</v>
      </c>
      <c r="M1753" s="14">
        <f>47*(1-P3/100)</f>
        <v>47</v>
      </c>
      <c r="N1753" s="15"/>
      <c r="O1753" s="13">
        <f>M1753*N1753</f>
        <v>0</v>
      </c>
      <c r="P1753" s="22">
        <f>0.059*N1753</f>
        <v>0</v>
      </c>
      <c r="Q1753" s="23">
        <f>0.00017*N1753</f>
        <v>0</v>
      </c>
      <c r="R1753" s="24"/>
      <c r="S1753" s="25" t="s">
        <v>7253</v>
      </c>
      <c r="T1753" s="25" t="s">
        <v>43</v>
      </c>
      <c r="U1753" s="5"/>
      <c r="V1753" s="5"/>
      <c r="W1753" s="5" t="s">
        <v>46</v>
      </c>
      <c r="X1753" s="5"/>
      <c r="Y1753" s="5"/>
      <c r="Z1753" s="5" t="str">
        <f>HYPERLINK("https://knigipp.ru/api/getInfo/image/5aba3d50-5098-11ee-a244-00155d82e902")</f>
        <v>https://knigipp.ru/api/getInfo/image/5aba3d50-5098-11ee-a244-00155d82e902</v>
      </c>
      <c r="AA1753" s="33">
        <v>12</v>
      </c>
      <c r="AB1753" s="5"/>
      <c r="AC1753" s="5" t="s">
        <v>96</v>
      </c>
      <c r="AD1753" s="5"/>
      <c r="AE1753" s="5" t="s">
        <v>49</v>
      </c>
      <c r="AF1753" s="5"/>
      <c r="AG1753" s="5"/>
      <c r="AH1753" s="5" t="s">
        <v>3848</v>
      </c>
    </row>
    <row r="1754" spans="2:34" ht="22.95" customHeight="1" outlineLevel="3" x14ac:dyDescent="0.2">
      <c r="B1754" s="74" t="s">
        <v>7254</v>
      </c>
      <c r="C1754" s="74"/>
      <c r="D1754" s="74"/>
    </row>
    <row r="1755" spans="2:34" ht="21" customHeight="1" outlineLevel="4" x14ac:dyDescent="0.2">
      <c r="B1755" s="42">
        <v>1359</v>
      </c>
      <c r="C1755" s="5" t="s">
        <v>7255</v>
      </c>
      <c r="D1755" s="5" t="s">
        <v>7256</v>
      </c>
      <c r="E1755" s="6" t="s">
        <v>7257</v>
      </c>
      <c r="F1755" s="10"/>
      <c r="G1755" s="11" t="s">
        <v>7258</v>
      </c>
      <c r="H1755" s="12">
        <v>20</v>
      </c>
      <c r="I1755" s="13" t="s">
        <v>41</v>
      </c>
      <c r="J1755" s="13"/>
      <c r="K1755" s="13"/>
      <c r="L1755" s="4">
        <v>4</v>
      </c>
      <c r="M1755" s="14">
        <f>147*(1-P3/100)</f>
        <v>147</v>
      </c>
      <c r="N1755" s="15"/>
      <c r="O1755" s="13">
        <f>M1755*N1755</f>
        <v>0</v>
      </c>
      <c r="P1755" s="22">
        <f>0.068*N1755</f>
        <v>0</v>
      </c>
      <c r="Q1755" s="23">
        <f>0.00041*N1755</f>
        <v>0</v>
      </c>
      <c r="R1755" s="24"/>
      <c r="S1755" s="25" t="s">
        <v>7259</v>
      </c>
      <c r="T1755" s="25" t="s">
        <v>43</v>
      </c>
      <c r="U1755" s="5"/>
      <c r="V1755" s="5" t="s">
        <v>7260</v>
      </c>
      <c r="W1755" s="5" t="s">
        <v>46</v>
      </c>
      <c r="X1755" s="5"/>
      <c r="Y1755" s="5"/>
      <c r="Z1755" s="5" t="str">
        <f>HYPERLINK("https://knigipp.ru/api/getInfo/image/d7c663c3-2ab0-11ed-a216-ac1f6b442185")</f>
        <v>https://knigipp.ru/api/getInfo/image/d7c663c3-2ab0-11ed-a216-ac1f6b442185</v>
      </c>
      <c r="AA1755" s="33">
        <v>16</v>
      </c>
      <c r="AB1755" s="5" t="s">
        <v>47</v>
      </c>
      <c r="AC1755" s="5" t="s">
        <v>96</v>
      </c>
      <c r="AD1755" s="5"/>
      <c r="AE1755" s="5" t="s">
        <v>49</v>
      </c>
      <c r="AF1755" s="5"/>
      <c r="AG1755" s="5"/>
      <c r="AH1755" s="5" t="s">
        <v>7261</v>
      </c>
    </row>
    <row r="1756" spans="2:34" ht="21" customHeight="1" outlineLevel="4" x14ac:dyDescent="0.2">
      <c r="B1756" s="42">
        <v>1360</v>
      </c>
      <c r="C1756" s="5" t="s">
        <v>7262</v>
      </c>
      <c r="D1756" s="5" t="s">
        <v>7263</v>
      </c>
      <c r="E1756" s="6" t="s">
        <v>7264</v>
      </c>
      <c r="F1756" s="10"/>
      <c r="G1756" s="11" t="s">
        <v>7258</v>
      </c>
      <c r="H1756" s="12">
        <v>20</v>
      </c>
      <c r="I1756" s="13" t="s">
        <v>41</v>
      </c>
      <c r="J1756" s="13"/>
      <c r="K1756" s="13"/>
      <c r="L1756" s="4">
        <v>4</v>
      </c>
      <c r="M1756" s="14">
        <f>147*(1-P3/100)</f>
        <v>147</v>
      </c>
      <c r="N1756" s="15"/>
      <c r="O1756" s="13">
        <f>M1756*N1756</f>
        <v>0</v>
      </c>
      <c r="P1756" s="22">
        <f>0.065*N1756</f>
        <v>0</v>
      </c>
      <c r="Q1756" s="23">
        <f>0.00122*N1756</f>
        <v>0</v>
      </c>
      <c r="R1756" s="24"/>
      <c r="S1756" s="25" t="s">
        <v>7265</v>
      </c>
      <c r="T1756" s="25" t="s">
        <v>43</v>
      </c>
      <c r="U1756" s="5"/>
      <c r="V1756" s="5" t="s">
        <v>7266</v>
      </c>
      <c r="W1756" s="5" t="s">
        <v>46</v>
      </c>
      <c r="X1756" s="5"/>
      <c r="Y1756" s="5"/>
      <c r="Z1756" s="5" t="str">
        <f>HYPERLINK("https://knigipp.ru/api/getInfo/image/1183632b-2ab1-11ed-a216-ac1f6b442185")</f>
        <v>https://knigipp.ru/api/getInfo/image/1183632b-2ab1-11ed-a216-ac1f6b442185</v>
      </c>
      <c r="AA1756" s="33">
        <v>16</v>
      </c>
      <c r="AB1756" s="5" t="s">
        <v>47</v>
      </c>
      <c r="AC1756" s="5" t="s">
        <v>96</v>
      </c>
      <c r="AD1756" s="5"/>
      <c r="AE1756" s="5" t="s">
        <v>49</v>
      </c>
      <c r="AF1756" s="5"/>
      <c r="AG1756" s="5"/>
      <c r="AH1756" s="5" t="s">
        <v>7261</v>
      </c>
    </row>
    <row r="1757" spans="2:34" ht="21" customHeight="1" outlineLevel="4" x14ac:dyDescent="0.2">
      <c r="B1757" s="42">
        <v>1361</v>
      </c>
      <c r="C1757" s="5" t="s">
        <v>7267</v>
      </c>
      <c r="D1757" s="5" t="s">
        <v>7268</v>
      </c>
      <c r="E1757" s="6" t="s">
        <v>7269</v>
      </c>
      <c r="F1757" s="10"/>
      <c r="G1757" s="11" t="s">
        <v>7258</v>
      </c>
      <c r="H1757" s="12">
        <v>20</v>
      </c>
      <c r="I1757" s="13" t="s">
        <v>41</v>
      </c>
      <c r="J1757" s="13"/>
      <c r="K1757" s="13"/>
      <c r="L1757" s="4">
        <v>4</v>
      </c>
      <c r="M1757" s="14">
        <f>147*(1-P3/100)</f>
        <v>147</v>
      </c>
      <c r="N1757" s="15"/>
      <c r="O1757" s="13">
        <f>M1757*N1757</f>
        <v>0</v>
      </c>
      <c r="P1757" s="32">
        <f>0.07*N1757</f>
        <v>0</v>
      </c>
      <c r="Q1757" s="23">
        <f>0.00084*N1757</f>
        <v>0</v>
      </c>
      <c r="R1757" s="24"/>
      <c r="S1757" s="25" t="s">
        <v>7270</v>
      </c>
      <c r="T1757" s="25" t="s">
        <v>43</v>
      </c>
      <c r="U1757" s="5"/>
      <c r="V1757" s="5" t="s">
        <v>7271</v>
      </c>
      <c r="W1757" s="5" t="s">
        <v>46</v>
      </c>
      <c r="X1757" s="5"/>
      <c r="Y1757" s="5"/>
      <c r="Z1757" s="5" t="str">
        <f>HYPERLINK("https://knigipp.ru/api/getInfo/image/656eebfb-2ab1-11ed-a216-ac1f6b442185")</f>
        <v>https://knigipp.ru/api/getInfo/image/656eebfb-2ab1-11ed-a216-ac1f6b442185</v>
      </c>
      <c r="AA1757" s="33">
        <v>16</v>
      </c>
      <c r="AB1757" s="5" t="s">
        <v>47</v>
      </c>
      <c r="AC1757" s="5" t="s">
        <v>96</v>
      </c>
      <c r="AD1757" s="5"/>
      <c r="AE1757" s="5" t="s">
        <v>49</v>
      </c>
      <c r="AF1757" s="5"/>
      <c r="AG1757" s="5"/>
      <c r="AH1757" s="5" t="s">
        <v>7261</v>
      </c>
    </row>
    <row r="1758" spans="2:34" ht="21" customHeight="1" outlineLevel="4" x14ac:dyDescent="0.2">
      <c r="B1758" s="42">
        <v>1362</v>
      </c>
      <c r="C1758" s="5" t="s">
        <v>7272</v>
      </c>
      <c r="D1758" s="5" t="s">
        <v>7273</v>
      </c>
      <c r="E1758" s="6" t="s">
        <v>7274</v>
      </c>
      <c r="F1758" s="10"/>
      <c r="G1758" s="11" t="s">
        <v>7258</v>
      </c>
      <c r="H1758" s="12">
        <v>20</v>
      </c>
      <c r="I1758" s="13" t="s">
        <v>41</v>
      </c>
      <c r="J1758" s="13"/>
      <c r="K1758" s="13"/>
      <c r="L1758" s="4">
        <v>4</v>
      </c>
      <c r="M1758" s="14">
        <f>147*(1-P3/100)</f>
        <v>147</v>
      </c>
      <c r="N1758" s="15"/>
      <c r="O1758" s="13">
        <f>M1758*N1758</f>
        <v>0</v>
      </c>
      <c r="P1758" s="22">
        <f>0.067*N1758</f>
        <v>0</v>
      </c>
      <c r="Q1758" s="30">
        <f>0.0006*N1758</f>
        <v>0</v>
      </c>
      <c r="R1758" s="24"/>
      <c r="S1758" s="25" t="s">
        <v>7275</v>
      </c>
      <c r="T1758" s="25" t="s">
        <v>43</v>
      </c>
      <c r="U1758" s="5"/>
      <c r="V1758" s="5" t="s">
        <v>7276</v>
      </c>
      <c r="W1758" s="5" t="s">
        <v>46</v>
      </c>
      <c r="X1758" s="5"/>
      <c r="Y1758" s="5"/>
      <c r="Z1758" s="5" t="str">
        <f>HYPERLINK("https://knigipp.ru/api/getInfo/image/928d0396-2ab1-11ed-a216-ac1f6b442185")</f>
        <v>https://knigipp.ru/api/getInfo/image/928d0396-2ab1-11ed-a216-ac1f6b442185</v>
      </c>
      <c r="AA1758" s="33">
        <v>16</v>
      </c>
      <c r="AB1758" s="5" t="s">
        <v>47</v>
      </c>
      <c r="AC1758" s="5" t="s">
        <v>96</v>
      </c>
      <c r="AD1758" s="5"/>
      <c r="AE1758" s="5" t="s">
        <v>49</v>
      </c>
      <c r="AF1758" s="5"/>
      <c r="AG1758" s="5"/>
      <c r="AH1758" s="5" t="s">
        <v>7261</v>
      </c>
    </row>
    <row r="1759" spans="2:34" ht="22.95" customHeight="1" outlineLevel="3" x14ac:dyDescent="0.2">
      <c r="B1759" s="74" t="s">
        <v>7277</v>
      </c>
      <c r="C1759" s="74"/>
      <c r="D1759" s="74"/>
    </row>
    <row r="1760" spans="2:34" ht="21" customHeight="1" outlineLevel="4" x14ac:dyDescent="0.2">
      <c r="B1760" s="42">
        <v>1363</v>
      </c>
      <c r="C1760" s="5" t="s">
        <v>7278</v>
      </c>
      <c r="D1760" s="5" t="s">
        <v>7279</v>
      </c>
      <c r="E1760" s="6" t="s">
        <v>7280</v>
      </c>
      <c r="F1760" s="10"/>
      <c r="G1760" s="11" t="s">
        <v>7281</v>
      </c>
      <c r="H1760" s="12">
        <v>30</v>
      </c>
      <c r="I1760" s="13" t="s">
        <v>41</v>
      </c>
      <c r="J1760" s="13"/>
      <c r="K1760" s="13"/>
      <c r="L1760" s="4">
        <v>7</v>
      </c>
      <c r="M1760" s="14">
        <f>97*(1-P3/100)</f>
        <v>97</v>
      </c>
      <c r="N1760" s="15"/>
      <c r="O1760" s="13">
        <f t="shared" ref="O1760:O1767" si="75">M1760*N1760</f>
        <v>0</v>
      </c>
      <c r="P1760" s="22">
        <f>0.115*N1760</f>
        <v>0</v>
      </c>
      <c r="Q1760" s="23">
        <f>0.00053*N1760</f>
        <v>0</v>
      </c>
      <c r="R1760" s="24"/>
      <c r="S1760" s="25" t="s">
        <v>7282</v>
      </c>
      <c r="T1760" s="25" t="s">
        <v>43</v>
      </c>
      <c r="U1760" s="5"/>
      <c r="V1760" s="5"/>
      <c r="W1760" s="5" t="s">
        <v>46</v>
      </c>
      <c r="X1760" s="5"/>
      <c r="Y1760" s="5"/>
      <c r="Z1760" s="5" t="str">
        <f>HYPERLINK("https://knigipp.ru/api/getInfo/image/530595b7-8b35-11ec-a211-ac1f6b442185")</f>
        <v>https://knigipp.ru/api/getInfo/image/530595b7-8b35-11ec-a211-ac1f6b442185</v>
      </c>
      <c r="AA1760" s="33">
        <v>16</v>
      </c>
      <c r="AB1760" s="5"/>
      <c r="AC1760" s="5" t="s">
        <v>96</v>
      </c>
      <c r="AD1760" s="5"/>
      <c r="AE1760" s="5" t="s">
        <v>49</v>
      </c>
      <c r="AF1760" s="5"/>
      <c r="AG1760" s="5"/>
      <c r="AH1760" s="5" t="s">
        <v>7283</v>
      </c>
    </row>
    <row r="1761" spans="2:34" ht="21" customHeight="1" outlineLevel="4" x14ac:dyDescent="0.2">
      <c r="B1761" s="42">
        <v>1364</v>
      </c>
      <c r="C1761" s="5" t="s">
        <v>7284</v>
      </c>
      <c r="D1761" s="5" t="s">
        <v>7285</v>
      </c>
      <c r="E1761" s="6" t="s">
        <v>7286</v>
      </c>
      <c r="F1761" s="10"/>
      <c r="G1761" s="11" t="s">
        <v>7281</v>
      </c>
      <c r="H1761" s="12">
        <v>30</v>
      </c>
      <c r="I1761" s="13" t="s">
        <v>41</v>
      </c>
      <c r="J1761" s="13"/>
      <c r="K1761" s="13"/>
      <c r="L1761" s="4">
        <v>7</v>
      </c>
      <c r="M1761" s="14">
        <f>97*(1-P3/100)</f>
        <v>97</v>
      </c>
      <c r="N1761" s="15"/>
      <c r="O1761" s="13">
        <f t="shared" si="75"/>
        <v>0</v>
      </c>
      <c r="P1761" s="22">
        <f>0.111*N1761</f>
        <v>0</v>
      </c>
      <c r="Q1761" s="23">
        <f>0.00039*N1761</f>
        <v>0</v>
      </c>
      <c r="R1761" s="24"/>
      <c r="S1761" s="25" t="s">
        <v>7287</v>
      </c>
      <c r="T1761" s="25" t="s">
        <v>43</v>
      </c>
      <c r="U1761" s="5"/>
      <c r="V1761" s="5"/>
      <c r="W1761" s="5" t="s">
        <v>46</v>
      </c>
      <c r="X1761" s="5"/>
      <c r="Y1761" s="5"/>
      <c r="Z1761" s="5" t="str">
        <f>HYPERLINK("https://knigipp.ru/api/getInfo/image/90dbaeaf-8b35-11ec-a211-ac1f6b442185")</f>
        <v>https://knigipp.ru/api/getInfo/image/90dbaeaf-8b35-11ec-a211-ac1f6b442185</v>
      </c>
      <c r="AA1761" s="33">
        <v>16</v>
      </c>
      <c r="AB1761" s="5"/>
      <c r="AC1761" s="5" t="s">
        <v>96</v>
      </c>
      <c r="AD1761" s="5"/>
      <c r="AE1761" s="5" t="s">
        <v>49</v>
      </c>
      <c r="AF1761" s="5"/>
      <c r="AG1761" s="5"/>
      <c r="AH1761" s="5" t="s">
        <v>7283</v>
      </c>
    </row>
    <row r="1762" spans="2:34" ht="21" customHeight="1" outlineLevel="4" x14ac:dyDescent="0.2">
      <c r="B1762" s="42">
        <v>1365</v>
      </c>
      <c r="C1762" s="5" t="s">
        <v>7288</v>
      </c>
      <c r="D1762" s="5" t="s">
        <v>7289</v>
      </c>
      <c r="E1762" s="6" t="s">
        <v>7290</v>
      </c>
      <c r="F1762" s="10"/>
      <c r="G1762" s="11" t="s">
        <v>7281</v>
      </c>
      <c r="H1762" s="12">
        <v>30</v>
      </c>
      <c r="I1762" s="13" t="s">
        <v>41</v>
      </c>
      <c r="J1762" s="13"/>
      <c r="K1762" s="13"/>
      <c r="L1762" s="4">
        <v>7</v>
      </c>
      <c r="M1762" s="14">
        <f>97*(1-P3/100)</f>
        <v>97</v>
      </c>
      <c r="N1762" s="15"/>
      <c r="O1762" s="13">
        <f t="shared" si="75"/>
        <v>0</v>
      </c>
      <c r="P1762" s="22">
        <f>0.112*N1762</f>
        <v>0</v>
      </c>
      <c r="Q1762" s="23">
        <f>0.00016*N1762</f>
        <v>0</v>
      </c>
      <c r="R1762" s="24"/>
      <c r="S1762" s="25" t="s">
        <v>7291</v>
      </c>
      <c r="T1762" s="25" t="s">
        <v>43</v>
      </c>
      <c r="U1762" s="5"/>
      <c r="V1762" s="5"/>
      <c r="W1762" s="5" t="s">
        <v>46</v>
      </c>
      <c r="X1762" s="5"/>
      <c r="Y1762" s="5"/>
      <c r="Z1762" s="5" t="str">
        <f>HYPERLINK("https://knigipp.ru/api/getInfo/image/a999521f-a385-11ed-a22f-00155d82e902")</f>
        <v>https://knigipp.ru/api/getInfo/image/a999521f-a385-11ed-a22f-00155d82e902</v>
      </c>
      <c r="AA1762" s="33">
        <v>16</v>
      </c>
      <c r="AB1762" s="5"/>
      <c r="AC1762" s="5" t="s">
        <v>96</v>
      </c>
      <c r="AD1762" s="5"/>
      <c r="AE1762" s="5" t="s">
        <v>49</v>
      </c>
      <c r="AF1762" s="5"/>
      <c r="AG1762" s="5"/>
      <c r="AH1762" s="5" t="s">
        <v>7283</v>
      </c>
    </row>
    <row r="1763" spans="2:34" ht="21" customHeight="1" outlineLevel="4" x14ac:dyDescent="0.2">
      <c r="B1763" s="42">
        <v>1366</v>
      </c>
      <c r="C1763" s="5" t="s">
        <v>7292</v>
      </c>
      <c r="D1763" s="5" t="s">
        <v>7293</v>
      </c>
      <c r="E1763" s="6" t="s">
        <v>7294</v>
      </c>
      <c r="F1763" s="10"/>
      <c r="G1763" s="11" t="s">
        <v>7281</v>
      </c>
      <c r="H1763" s="12">
        <v>30</v>
      </c>
      <c r="I1763" s="13" t="s">
        <v>371</v>
      </c>
      <c r="J1763" s="13"/>
      <c r="K1763" s="13"/>
      <c r="L1763" s="4">
        <v>7</v>
      </c>
      <c r="M1763" s="14">
        <f>97*(1-P3/100)</f>
        <v>97</v>
      </c>
      <c r="N1763" s="15"/>
      <c r="O1763" s="13">
        <f t="shared" si="75"/>
        <v>0</v>
      </c>
      <c r="P1763" s="13">
        <v>0</v>
      </c>
      <c r="Q1763" s="13">
        <v>0</v>
      </c>
      <c r="R1763" s="24"/>
      <c r="S1763" s="25" t="s">
        <v>7295</v>
      </c>
      <c r="T1763" s="25" t="s">
        <v>43</v>
      </c>
      <c r="U1763" s="5"/>
      <c r="V1763" s="5"/>
      <c r="W1763" s="5" t="s">
        <v>46</v>
      </c>
      <c r="X1763" s="5"/>
      <c r="Y1763" s="5"/>
      <c r="Z1763" s="5" t="str">
        <f>HYPERLINK("https://knigipp.ru/api/getInfo/image/652a364e-a385-11ed-a22f-00155d82e902")</f>
        <v>https://knigipp.ru/api/getInfo/image/652a364e-a385-11ed-a22f-00155d82e902</v>
      </c>
      <c r="AA1763" s="33">
        <v>16</v>
      </c>
      <c r="AB1763" s="5"/>
      <c r="AC1763" s="5" t="s">
        <v>96</v>
      </c>
      <c r="AD1763" s="5"/>
      <c r="AE1763" s="5" t="s">
        <v>49</v>
      </c>
      <c r="AF1763" s="5"/>
      <c r="AG1763" s="5"/>
      <c r="AH1763" s="5" t="s">
        <v>7283</v>
      </c>
    </row>
    <row r="1764" spans="2:34" ht="21" customHeight="1" outlineLevel="4" x14ac:dyDescent="0.2">
      <c r="B1764" s="42">
        <v>1367</v>
      </c>
      <c r="C1764" s="5" t="s">
        <v>7296</v>
      </c>
      <c r="D1764" s="5" t="s">
        <v>7297</v>
      </c>
      <c r="E1764" s="6" t="s">
        <v>7298</v>
      </c>
      <c r="F1764" s="10"/>
      <c r="G1764" s="11" t="s">
        <v>7281</v>
      </c>
      <c r="H1764" s="12">
        <v>30</v>
      </c>
      <c r="I1764" s="13" t="s">
        <v>261</v>
      </c>
      <c r="J1764" s="13"/>
      <c r="K1764" s="13"/>
      <c r="L1764" s="4">
        <v>7</v>
      </c>
      <c r="M1764" s="14">
        <f>97*(1-P3/100)</f>
        <v>97</v>
      </c>
      <c r="N1764" s="15"/>
      <c r="O1764" s="13">
        <f t="shared" si="75"/>
        <v>0</v>
      </c>
      <c r="P1764" s="13">
        <v>0</v>
      </c>
      <c r="Q1764" s="13">
        <v>0</v>
      </c>
      <c r="R1764" s="24"/>
      <c r="S1764" s="25" t="s">
        <v>7299</v>
      </c>
      <c r="T1764" s="25" t="s">
        <v>43</v>
      </c>
      <c r="U1764" s="5"/>
      <c r="V1764" s="5"/>
      <c r="W1764" s="5" t="s">
        <v>46</v>
      </c>
      <c r="X1764" s="5"/>
      <c r="Y1764" s="5"/>
      <c r="Z1764" s="5" t="str">
        <f>HYPERLINK("https://knigipp.ru/api/getInfo/image/bd8ff930-a384-11ed-a22f-00155d82e902")</f>
        <v>https://knigipp.ru/api/getInfo/image/bd8ff930-a384-11ed-a22f-00155d82e902</v>
      </c>
      <c r="AA1764" s="33">
        <v>16</v>
      </c>
      <c r="AB1764" s="5"/>
      <c r="AC1764" s="5" t="s">
        <v>96</v>
      </c>
      <c r="AD1764" s="5"/>
      <c r="AE1764" s="5" t="s">
        <v>49</v>
      </c>
      <c r="AF1764" s="5"/>
      <c r="AG1764" s="5"/>
      <c r="AH1764" s="5" t="s">
        <v>7283</v>
      </c>
    </row>
    <row r="1765" spans="2:34" ht="21" customHeight="1" outlineLevel="4" x14ac:dyDescent="0.2">
      <c r="B1765" s="42">
        <v>1368</v>
      </c>
      <c r="C1765" s="5" t="s">
        <v>7300</v>
      </c>
      <c r="D1765" s="5" t="s">
        <v>7301</v>
      </c>
      <c r="E1765" s="6" t="s">
        <v>7302</v>
      </c>
      <c r="F1765" s="10"/>
      <c r="G1765" s="11" t="s">
        <v>7281</v>
      </c>
      <c r="H1765" s="12">
        <v>30</v>
      </c>
      <c r="I1765" s="13" t="s">
        <v>41</v>
      </c>
      <c r="J1765" s="13"/>
      <c r="K1765" s="13"/>
      <c r="L1765" s="4">
        <v>7</v>
      </c>
      <c r="M1765" s="14">
        <f>97*(1-P3/100)</f>
        <v>97</v>
      </c>
      <c r="N1765" s="15"/>
      <c r="O1765" s="13">
        <f t="shared" si="75"/>
        <v>0</v>
      </c>
      <c r="P1765" s="32">
        <f>0.11*N1765</f>
        <v>0</v>
      </c>
      <c r="Q1765" s="23">
        <f>0.00034*N1765</f>
        <v>0</v>
      </c>
      <c r="R1765" s="24"/>
      <c r="S1765" s="25" t="s">
        <v>7303</v>
      </c>
      <c r="T1765" s="25" t="s">
        <v>43</v>
      </c>
      <c r="U1765" s="5"/>
      <c r="V1765" s="5"/>
      <c r="W1765" s="5" t="s">
        <v>46</v>
      </c>
      <c r="X1765" s="5"/>
      <c r="Y1765" s="5"/>
      <c r="Z1765" s="5" t="str">
        <f>HYPERLINK("https://knigipp.ru/api/getInfo/image/b59ef2d4-8b35-11ec-a211-ac1f6b442185")</f>
        <v>https://knigipp.ru/api/getInfo/image/b59ef2d4-8b35-11ec-a211-ac1f6b442185</v>
      </c>
      <c r="AA1765" s="33">
        <v>16</v>
      </c>
      <c r="AB1765" s="5"/>
      <c r="AC1765" s="5" t="s">
        <v>96</v>
      </c>
      <c r="AD1765" s="5"/>
      <c r="AE1765" s="5" t="s">
        <v>49</v>
      </c>
      <c r="AF1765" s="5"/>
      <c r="AG1765" s="5"/>
      <c r="AH1765" s="5" t="s">
        <v>7283</v>
      </c>
    </row>
    <row r="1766" spans="2:34" ht="21" customHeight="1" outlineLevel="4" x14ac:dyDescent="0.2">
      <c r="B1766" s="42">
        <v>1369</v>
      </c>
      <c r="C1766" s="5" t="s">
        <v>7304</v>
      </c>
      <c r="D1766" s="5" t="s">
        <v>7305</v>
      </c>
      <c r="E1766" s="6" t="s">
        <v>7306</v>
      </c>
      <c r="F1766" s="10"/>
      <c r="G1766" s="11" t="s">
        <v>7281</v>
      </c>
      <c r="H1766" s="12">
        <v>30</v>
      </c>
      <c r="I1766" s="13" t="s">
        <v>41</v>
      </c>
      <c r="J1766" s="13"/>
      <c r="K1766" s="13"/>
      <c r="L1766" s="4">
        <v>7</v>
      </c>
      <c r="M1766" s="14">
        <f>97*(1-P3/100)</f>
        <v>97</v>
      </c>
      <c r="N1766" s="15"/>
      <c r="O1766" s="13">
        <f t="shared" si="75"/>
        <v>0</v>
      </c>
      <c r="P1766" s="22">
        <f>0.117*N1766</f>
        <v>0</v>
      </c>
      <c r="Q1766" s="23">
        <f>0.00056*N1766</f>
        <v>0</v>
      </c>
      <c r="R1766" s="24"/>
      <c r="S1766" s="25" t="s">
        <v>7307</v>
      </c>
      <c r="T1766" s="25" t="s">
        <v>43</v>
      </c>
      <c r="U1766" s="5"/>
      <c r="V1766" s="5"/>
      <c r="W1766" s="5" t="s">
        <v>46</v>
      </c>
      <c r="X1766" s="5"/>
      <c r="Y1766" s="5"/>
      <c r="Z1766" s="5" t="str">
        <f>HYPERLINK("https://knigipp.ru/api/getInfo/image/e7201788-8b35-11ec-a211-ac1f6b442185")</f>
        <v>https://knigipp.ru/api/getInfo/image/e7201788-8b35-11ec-a211-ac1f6b442185</v>
      </c>
      <c r="AA1766" s="33">
        <v>16</v>
      </c>
      <c r="AB1766" s="5"/>
      <c r="AC1766" s="5" t="s">
        <v>96</v>
      </c>
      <c r="AD1766" s="5"/>
      <c r="AE1766" s="5" t="s">
        <v>49</v>
      </c>
      <c r="AF1766" s="5"/>
      <c r="AG1766" s="5"/>
      <c r="AH1766" s="5" t="s">
        <v>7283</v>
      </c>
    </row>
    <row r="1767" spans="2:34" ht="21" customHeight="1" outlineLevel="4" x14ac:dyDescent="0.2">
      <c r="B1767" s="42">
        <v>1370</v>
      </c>
      <c r="C1767" s="5" t="s">
        <v>7308</v>
      </c>
      <c r="D1767" s="5" t="s">
        <v>7309</v>
      </c>
      <c r="E1767" s="6" t="s">
        <v>7310</v>
      </c>
      <c r="F1767" s="10"/>
      <c r="G1767" s="11" t="s">
        <v>7281</v>
      </c>
      <c r="H1767" s="12">
        <v>30</v>
      </c>
      <c r="I1767" s="13" t="s">
        <v>41</v>
      </c>
      <c r="J1767" s="13"/>
      <c r="K1767" s="13"/>
      <c r="L1767" s="4">
        <v>7</v>
      </c>
      <c r="M1767" s="14">
        <f>97*(1-P3/100)</f>
        <v>97</v>
      </c>
      <c r="N1767" s="15"/>
      <c r="O1767" s="13">
        <f t="shared" si="75"/>
        <v>0</v>
      </c>
      <c r="P1767" s="13">
        <v>0</v>
      </c>
      <c r="Q1767" s="13">
        <v>0</v>
      </c>
      <c r="R1767" s="24"/>
      <c r="S1767" s="25" t="s">
        <v>7311</v>
      </c>
      <c r="T1767" s="25" t="s">
        <v>43</v>
      </c>
      <c r="U1767" s="5"/>
      <c r="V1767" s="5"/>
      <c r="W1767" s="5" t="s">
        <v>46</v>
      </c>
      <c r="X1767" s="5"/>
      <c r="Y1767" s="5"/>
      <c r="Z1767" s="5" t="str">
        <f>HYPERLINK("https://knigipp.ru/api/getInfo/image/1dcc102e-a385-11ed-a22f-00155d82e902")</f>
        <v>https://knigipp.ru/api/getInfo/image/1dcc102e-a385-11ed-a22f-00155d82e902</v>
      </c>
      <c r="AA1767" s="33">
        <v>16</v>
      </c>
      <c r="AB1767" s="5"/>
      <c r="AC1767" s="5" t="s">
        <v>96</v>
      </c>
      <c r="AD1767" s="5"/>
      <c r="AE1767" s="5" t="s">
        <v>49</v>
      </c>
      <c r="AF1767" s="5"/>
      <c r="AG1767" s="5"/>
      <c r="AH1767" s="5" t="s">
        <v>7283</v>
      </c>
    </row>
    <row r="1768" spans="2:34" ht="22.95" customHeight="1" outlineLevel="3" x14ac:dyDescent="0.2">
      <c r="B1768" s="74" t="s">
        <v>7312</v>
      </c>
      <c r="C1768" s="74"/>
      <c r="D1768" s="74"/>
    </row>
    <row r="1769" spans="2:34" ht="21" customHeight="1" outlineLevel="4" x14ac:dyDescent="0.2">
      <c r="B1769" s="42">
        <v>1371</v>
      </c>
      <c r="C1769" s="5" t="s">
        <v>7313</v>
      </c>
      <c r="D1769" s="5" t="s">
        <v>7314</v>
      </c>
      <c r="E1769" s="6" t="s">
        <v>7315</v>
      </c>
      <c r="F1769" s="10"/>
      <c r="G1769" s="11" t="s">
        <v>7316</v>
      </c>
      <c r="H1769" s="12">
        <v>30</v>
      </c>
      <c r="I1769" s="13" t="s">
        <v>41</v>
      </c>
      <c r="J1769" s="13"/>
      <c r="K1769" s="13"/>
      <c r="L1769" s="4">
        <v>2</v>
      </c>
      <c r="M1769" s="14">
        <f>337*(1-P3/100)</f>
        <v>337</v>
      </c>
      <c r="N1769" s="15"/>
      <c r="O1769" s="13">
        <f>M1769*N1769</f>
        <v>0</v>
      </c>
      <c r="P1769" s="32">
        <f>0.11*N1769</f>
        <v>0</v>
      </c>
      <c r="Q1769" s="23">
        <f>0.00133*N1769</f>
        <v>0</v>
      </c>
      <c r="R1769" s="24"/>
      <c r="S1769" s="25" t="s">
        <v>7317</v>
      </c>
      <c r="T1769" s="25" t="s">
        <v>43</v>
      </c>
      <c r="U1769" s="5"/>
      <c r="V1769" s="5" t="s">
        <v>7318</v>
      </c>
      <c r="W1769" s="5" t="s">
        <v>46</v>
      </c>
      <c r="X1769" s="5"/>
      <c r="Y1769" s="5"/>
      <c r="Z1769" s="5" t="str">
        <f>HYPERLINK("https://knigipp.ru/api/getInfo/image/5cf82b32-edc1-11ee-a25b-00155d82e908")</f>
        <v>https://knigipp.ru/api/getInfo/image/5cf82b32-edc1-11ee-a25b-00155d82e908</v>
      </c>
      <c r="AA1769" s="33">
        <v>16</v>
      </c>
      <c r="AB1769" s="5" t="s">
        <v>47</v>
      </c>
      <c r="AC1769" s="5" t="s">
        <v>96</v>
      </c>
      <c r="AD1769" s="5"/>
      <c r="AE1769" s="5" t="s">
        <v>49</v>
      </c>
      <c r="AF1769" s="5"/>
      <c r="AG1769" s="5"/>
      <c r="AH1769" s="5" t="s">
        <v>7319</v>
      </c>
    </row>
    <row r="1770" spans="2:34" ht="21" customHeight="1" outlineLevel="4" x14ac:dyDescent="0.2">
      <c r="B1770" s="42">
        <v>1372</v>
      </c>
      <c r="C1770" s="5" t="s">
        <v>7320</v>
      </c>
      <c r="D1770" s="5" t="s">
        <v>7321</v>
      </c>
      <c r="E1770" s="6" t="s">
        <v>7322</v>
      </c>
      <c r="F1770" s="10"/>
      <c r="G1770" s="11" t="s">
        <v>7316</v>
      </c>
      <c r="H1770" s="12">
        <v>30</v>
      </c>
      <c r="I1770" s="13" t="s">
        <v>41</v>
      </c>
      <c r="J1770" s="13"/>
      <c r="K1770" s="13"/>
      <c r="L1770" s="4">
        <v>2</v>
      </c>
      <c r="M1770" s="14">
        <f>337*(1-P3/100)</f>
        <v>337</v>
      </c>
      <c r="N1770" s="15"/>
      <c r="O1770" s="13">
        <f>M1770*N1770</f>
        <v>0</v>
      </c>
      <c r="P1770" s="32">
        <f>0.11*N1770</f>
        <v>0</v>
      </c>
      <c r="Q1770" s="23">
        <f>0.00133*N1770</f>
        <v>0</v>
      </c>
      <c r="R1770" s="24"/>
      <c r="S1770" s="25" t="s">
        <v>7323</v>
      </c>
      <c r="T1770" s="25" t="s">
        <v>43</v>
      </c>
      <c r="U1770" s="5"/>
      <c r="V1770" s="5" t="s">
        <v>7324</v>
      </c>
      <c r="W1770" s="5" t="s">
        <v>46</v>
      </c>
      <c r="X1770" s="5"/>
      <c r="Y1770" s="5"/>
      <c r="Z1770" s="5" t="str">
        <f>HYPERLINK("https://knigipp.ru/api/getInfo/image/03df9c2e-edc2-11ee-a25b-00155d82e908")</f>
        <v>https://knigipp.ru/api/getInfo/image/03df9c2e-edc2-11ee-a25b-00155d82e908</v>
      </c>
      <c r="AA1770" s="33">
        <v>16</v>
      </c>
      <c r="AB1770" s="5" t="s">
        <v>47</v>
      </c>
      <c r="AC1770" s="5" t="s">
        <v>96</v>
      </c>
      <c r="AD1770" s="5"/>
      <c r="AE1770" s="5" t="s">
        <v>49</v>
      </c>
      <c r="AF1770" s="5"/>
      <c r="AG1770" s="5"/>
      <c r="AH1770" s="5" t="s">
        <v>7319</v>
      </c>
    </row>
    <row r="1771" spans="2:34" ht="21" customHeight="1" outlineLevel="4" x14ac:dyDescent="0.2">
      <c r="B1771" s="42">
        <v>1373</v>
      </c>
      <c r="C1771" s="5" t="s">
        <v>7325</v>
      </c>
      <c r="D1771" s="5" t="s">
        <v>7326</v>
      </c>
      <c r="E1771" s="6" t="s">
        <v>7327</v>
      </c>
      <c r="F1771" s="10"/>
      <c r="G1771" s="11" t="s">
        <v>7316</v>
      </c>
      <c r="H1771" s="12">
        <v>30</v>
      </c>
      <c r="I1771" s="13" t="s">
        <v>41</v>
      </c>
      <c r="J1771" s="13"/>
      <c r="K1771" s="13"/>
      <c r="L1771" s="4">
        <v>2</v>
      </c>
      <c r="M1771" s="14">
        <f>337*(1-P3/100)</f>
        <v>337</v>
      </c>
      <c r="N1771" s="15"/>
      <c r="O1771" s="13">
        <f>M1771*N1771</f>
        <v>0</v>
      </c>
      <c r="P1771" s="32">
        <f>0.11*N1771</f>
        <v>0</v>
      </c>
      <c r="Q1771" s="23">
        <f>0.00133*N1771</f>
        <v>0</v>
      </c>
      <c r="R1771" s="24"/>
      <c r="S1771" s="25" t="s">
        <v>7328</v>
      </c>
      <c r="T1771" s="25" t="s">
        <v>43</v>
      </c>
      <c r="U1771" s="5"/>
      <c r="V1771" s="5" t="s">
        <v>7329</v>
      </c>
      <c r="W1771" s="5" t="s">
        <v>46</v>
      </c>
      <c r="X1771" s="5"/>
      <c r="Y1771" s="5"/>
      <c r="Z1771" s="5" t="str">
        <f>HYPERLINK("https://knigipp.ru/api/getInfo/image/be788764-edc1-11ee-a25b-00155d82e908")</f>
        <v>https://knigipp.ru/api/getInfo/image/be788764-edc1-11ee-a25b-00155d82e908</v>
      </c>
      <c r="AA1771" s="33">
        <v>16</v>
      </c>
      <c r="AB1771" s="5" t="s">
        <v>47</v>
      </c>
      <c r="AC1771" s="5" t="s">
        <v>96</v>
      </c>
      <c r="AD1771" s="5"/>
      <c r="AE1771" s="5" t="s">
        <v>49</v>
      </c>
      <c r="AF1771" s="5"/>
      <c r="AG1771" s="5"/>
      <c r="AH1771" s="5" t="s">
        <v>7319</v>
      </c>
    </row>
    <row r="1772" spans="2:34" ht="21" customHeight="1" outlineLevel="4" x14ac:dyDescent="0.2">
      <c r="B1772" s="42">
        <v>1374</v>
      </c>
      <c r="C1772" s="5" t="s">
        <v>7330</v>
      </c>
      <c r="D1772" s="5" t="s">
        <v>7331</v>
      </c>
      <c r="E1772" s="6" t="s">
        <v>7332</v>
      </c>
      <c r="F1772" s="10"/>
      <c r="G1772" s="11" t="s">
        <v>7316</v>
      </c>
      <c r="H1772" s="12">
        <v>30</v>
      </c>
      <c r="I1772" s="13" t="s">
        <v>41</v>
      </c>
      <c r="J1772" s="13"/>
      <c r="K1772" s="13"/>
      <c r="L1772" s="4">
        <v>2</v>
      </c>
      <c r="M1772" s="14">
        <f>337*(1-P3/100)</f>
        <v>337</v>
      </c>
      <c r="N1772" s="15"/>
      <c r="O1772" s="13">
        <f>M1772*N1772</f>
        <v>0</v>
      </c>
      <c r="P1772" s="32">
        <f>0.11*N1772</f>
        <v>0</v>
      </c>
      <c r="Q1772" s="23">
        <f>0.00133*N1772</f>
        <v>0</v>
      </c>
      <c r="R1772" s="24"/>
      <c r="S1772" s="25" t="s">
        <v>7333</v>
      </c>
      <c r="T1772" s="25" t="s">
        <v>43</v>
      </c>
      <c r="U1772" s="5"/>
      <c r="V1772" s="5" t="s">
        <v>7334</v>
      </c>
      <c r="W1772" s="5" t="s">
        <v>46</v>
      </c>
      <c r="X1772" s="5"/>
      <c r="Y1772" s="5"/>
      <c r="Z1772" s="5" t="str">
        <f>HYPERLINK("https://knigipp.ru/api/getInfo/image/e97ac8e7-edc1-11ee-a25b-00155d82e908")</f>
        <v>https://knigipp.ru/api/getInfo/image/e97ac8e7-edc1-11ee-a25b-00155d82e908</v>
      </c>
      <c r="AA1772" s="33">
        <v>16</v>
      </c>
      <c r="AB1772" s="5" t="s">
        <v>47</v>
      </c>
      <c r="AC1772" s="5" t="s">
        <v>96</v>
      </c>
      <c r="AD1772" s="5"/>
      <c r="AE1772" s="5" t="s">
        <v>49</v>
      </c>
      <c r="AF1772" s="5"/>
      <c r="AG1772" s="5"/>
      <c r="AH1772" s="5" t="s">
        <v>7319</v>
      </c>
    </row>
    <row r="1773" spans="2:34" ht="22.95" customHeight="1" outlineLevel="3" x14ac:dyDescent="0.2">
      <c r="B1773" s="74" t="s">
        <v>7335</v>
      </c>
      <c r="C1773" s="74"/>
      <c r="D1773" s="74"/>
    </row>
    <row r="1774" spans="2:34" ht="21" customHeight="1" outlineLevel="4" x14ac:dyDescent="0.2">
      <c r="B1774" s="42">
        <v>1375</v>
      </c>
      <c r="C1774" s="5" t="s">
        <v>7336</v>
      </c>
      <c r="D1774" s="5" t="s">
        <v>7337</v>
      </c>
      <c r="E1774" s="6" t="s">
        <v>7338</v>
      </c>
      <c r="F1774" s="10"/>
      <c r="G1774" s="11" t="s">
        <v>7339</v>
      </c>
      <c r="H1774" s="12">
        <v>30</v>
      </c>
      <c r="I1774" s="13" t="s">
        <v>261</v>
      </c>
      <c r="J1774" s="13"/>
      <c r="K1774" s="13"/>
      <c r="L1774" s="4">
        <v>10</v>
      </c>
      <c r="M1774" s="14">
        <f>69*(1-P3/100)</f>
        <v>69</v>
      </c>
      <c r="N1774" s="15"/>
      <c r="O1774" s="13">
        <f>M1774*N1774</f>
        <v>0</v>
      </c>
      <c r="P1774" s="13">
        <v>0</v>
      </c>
      <c r="Q1774" s="13">
        <v>0</v>
      </c>
      <c r="R1774" s="24"/>
      <c r="S1774" s="25" t="s">
        <v>7340</v>
      </c>
      <c r="T1774" s="25" t="s">
        <v>43</v>
      </c>
      <c r="U1774" s="5"/>
      <c r="V1774" s="5"/>
      <c r="W1774" s="5" t="s">
        <v>46</v>
      </c>
      <c r="X1774" s="5"/>
      <c r="Y1774" s="5"/>
      <c r="Z1774" s="5" t="str">
        <f>HYPERLINK("https://knigipp.ru/api/getInfo/image/6ca2f678-4a0f-11ed-a216-ac1f6b442185")</f>
        <v>https://knigipp.ru/api/getInfo/image/6ca2f678-4a0f-11ed-a216-ac1f6b442185</v>
      </c>
      <c r="AA1774" s="33">
        <v>32</v>
      </c>
      <c r="AB1774" s="5" t="s">
        <v>47</v>
      </c>
      <c r="AC1774" s="5" t="s">
        <v>96</v>
      </c>
      <c r="AD1774" s="5"/>
      <c r="AE1774" s="5" t="s">
        <v>49</v>
      </c>
      <c r="AF1774" s="5"/>
      <c r="AG1774" s="5"/>
      <c r="AH1774" s="5" t="s">
        <v>7341</v>
      </c>
    </row>
    <row r="1775" spans="2:34" ht="22.95" customHeight="1" outlineLevel="3" x14ac:dyDescent="0.2">
      <c r="B1775" s="74" t="s">
        <v>7342</v>
      </c>
      <c r="C1775" s="74"/>
      <c r="D1775" s="74"/>
    </row>
    <row r="1776" spans="2:34" ht="21" customHeight="1" outlineLevel="4" x14ac:dyDescent="0.2">
      <c r="B1776" s="42">
        <v>1376</v>
      </c>
      <c r="C1776" s="5" t="s">
        <v>7343</v>
      </c>
      <c r="D1776" s="5" t="s">
        <v>7344</v>
      </c>
      <c r="E1776" s="6" t="s">
        <v>7345</v>
      </c>
      <c r="F1776" s="10"/>
      <c r="G1776" s="11" t="s">
        <v>7346</v>
      </c>
      <c r="H1776" s="12">
        <v>20</v>
      </c>
      <c r="I1776" s="13" t="s">
        <v>41</v>
      </c>
      <c r="J1776" s="13"/>
      <c r="K1776" s="13"/>
      <c r="L1776" s="4">
        <v>5</v>
      </c>
      <c r="M1776" s="14">
        <f>139*(1-P3/100)</f>
        <v>139</v>
      </c>
      <c r="N1776" s="15"/>
      <c r="O1776" s="13">
        <f t="shared" ref="O1776:O1783" si="76">M1776*N1776</f>
        <v>0</v>
      </c>
      <c r="P1776" s="32">
        <f>0.08*N1776</f>
        <v>0</v>
      </c>
      <c r="Q1776" s="23">
        <f>0.00055*N1776</f>
        <v>0</v>
      </c>
      <c r="R1776" s="24"/>
      <c r="S1776" s="25" t="s">
        <v>7347</v>
      </c>
      <c r="T1776" s="25" t="s">
        <v>43</v>
      </c>
      <c r="U1776" s="5"/>
      <c r="V1776" s="5" t="s">
        <v>7348</v>
      </c>
      <c r="W1776" s="5" t="s">
        <v>2731</v>
      </c>
      <c r="X1776" s="5"/>
      <c r="Y1776" s="5"/>
      <c r="Z1776" s="5" t="str">
        <f>HYPERLINK("https://knigipp.ru/api/getInfo/image/6635a9b4-f3da-11ed-a237-00155d82e902")</f>
        <v>https://knigipp.ru/api/getInfo/image/6635a9b4-f3da-11ed-a237-00155d82e902</v>
      </c>
      <c r="AA1776" s="33">
        <v>16</v>
      </c>
      <c r="AB1776" s="5" t="s">
        <v>47</v>
      </c>
      <c r="AC1776" s="5" t="s">
        <v>96</v>
      </c>
      <c r="AD1776" s="5"/>
      <c r="AE1776" s="5" t="s">
        <v>49</v>
      </c>
      <c r="AF1776" s="5"/>
      <c r="AG1776" s="5"/>
      <c r="AH1776" s="5" t="s">
        <v>7349</v>
      </c>
    </row>
    <row r="1777" spans="2:34" ht="21" customHeight="1" outlineLevel="4" x14ac:dyDescent="0.2">
      <c r="B1777" s="42">
        <v>1377</v>
      </c>
      <c r="C1777" s="5" t="s">
        <v>7350</v>
      </c>
      <c r="D1777" s="5" t="s">
        <v>7351</v>
      </c>
      <c r="E1777" s="6" t="s">
        <v>7352</v>
      </c>
      <c r="F1777" s="10"/>
      <c r="G1777" s="11" t="s">
        <v>7353</v>
      </c>
      <c r="H1777" s="12">
        <v>20</v>
      </c>
      <c r="I1777" s="13" t="s">
        <v>41</v>
      </c>
      <c r="J1777" s="13"/>
      <c r="K1777" s="13"/>
      <c r="L1777" s="4">
        <v>5</v>
      </c>
      <c r="M1777" s="14">
        <f>139*(1-P3/100)</f>
        <v>139</v>
      </c>
      <c r="N1777" s="15"/>
      <c r="O1777" s="13">
        <f t="shared" si="76"/>
        <v>0</v>
      </c>
      <c r="P1777" s="22">
        <f>0.075*N1777</f>
        <v>0</v>
      </c>
      <c r="Q1777" s="23">
        <f>0.00087*N1777</f>
        <v>0</v>
      </c>
      <c r="R1777" s="24"/>
      <c r="S1777" s="25" t="s">
        <v>7354</v>
      </c>
      <c r="T1777" s="25" t="s">
        <v>43</v>
      </c>
      <c r="U1777" s="5"/>
      <c r="V1777" s="5" t="s">
        <v>7355</v>
      </c>
      <c r="W1777" s="5" t="s">
        <v>2731</v>
      </c>
      <c r="X1777" s="5"/>
      <c r="Y1777" s="5"/>
      <c r="Z1777" s="5" t="str">
        <f>HYPERLINK("https://knigipp.ru/api/getInfo/image/a29edcfd-5139-11ed-a21d-ac1f6b442185")</f>
        <v>https://knigipp.ru/api/getInfo/image/a29edcfd-5139-11ed-a21d-ac1f6b442185</v>
      </c>
      <c r="AA1777" s="33">
        <v>16</v>
      </c>
      <c r="AB1777" s="5" t="s">
        <v>47</v>
      </c>
      <c r="AC1777" s="5" t="s">
        <v>96</v>
      </c>
      <c r="AD1777" s="5"/>
      <c r="AE1777" s="5" t="s">
        <v>49</v>
      </c>
      <c r="AF1777" s="5"/>
      <c r="AG1777" s="5"/>
      <c r="AH1777" s="5" t="s">
        <v>7349</v>
      </c>
    </row>
    <row r="1778" spans="2:34" ht="21" customHeight="1" outlineLevel="4" x14ac:dyDescent="0.2">
      <c r="B1778" s="42">
        <v>1378</v>
      </c>
      <c r="C1778" s="5" t="s">
        <v>7356</v>
      </c>
      <c r="D1778" s="5" t="s">
        <v>7357</v>
      </c>
      <c r="E1778" s="6" t="s">
        <v>7358</v>
      </c>
      <c r="F1778" s="10"/>
      <c r="G1778" s="11" t="s">
        <v>7353</v>
      </c>
      <c r="H1778" s="12">
        <v>20</v>
      </c>
      <c r="I1778" s="13" t="s">
        <v>41</v>
      </c>
      <c r="J1778" s="13"/>
      <c r="K1778" s="13"/>
      <c r="L1778" s="4">
        <v>5</v>
      </c>
      <c r="M1778" s="14">
        <f>139*(1-P3/100)</f>
        <v>139</v>
      </c>
      <c r="N1778" s="15"/>
      <c r="O1778" s="13">
        <f t="shared" si="76"/>
        <v>0</v>
      </c>
      <c r="P1778" s="22">
        <f>0.075*N1778</f>
        <v>0</v>
      </c>
      <c r="Q1778" s="30">
        <f>0.0023*N1778</f>
        <v>0</v>
      </c>
      <c r="R1778" s="24"/>
      <c r="S1778" s="25" t="s">
        <v>7359</v>
      </c>
      <c r="T1778" s="25" t="s">
        <v>43</v>
      </c>
      <c r="U1778" s="5"/>
      <c r="V1778" s="5" t="s">
        <v>7360</v>
      </c>
      <c r="W1778" s="5" t="s">
        <v>46</v>
      </c>
      <c r="X1778" s="5"/>
      <c r="Y1778" s="5"/>
      <c r="Z1778" s="5" t="str">
        <f>HYPERLINK("https://knigipp.ru/api/getInfo/image/c94260d1-5139-11ed-a21d-ac1f6b442185")</f>
        <v>https://knigipp.ru/api/getInfo/image/c94260d1-5139-11ed-a21d-ac1f6b442185</v>
      </c>
      <c r="AA1778" s="33">
        <v>16</v>
      </c>
      <c r="AB1778" s="5" t="s">
        <v>47</v>
      </c>
      <c r="AC1778" s="5" t="s">
        <v>96</v>
      </c>
      <c r="AD1778" s="5"/>
      <c r="AE1778" s="5" t="s">
        <v>49</v>
      </c>
      <c r="AF1778" s="5"/>
      <c r="AG1778" s="5"/>
      <c r="AH1778" s="5" t="s">
        <v>7349</v>
      </c>
    </row>
    <row r="1779" spans="2:34" ht="21" customHeight="1" outlineLevel="4" x14ac:dyDescent="0.2">
      <c r="B1779" s="42">
        <v>1379</v>
      </c>
      <c r="C1779" s="5" t="s">
        <v>7361</v>
      </c>
      <c r="D1779" s="5" t="s">
        <v>7362</v>
      </c>
      <c r="E1779" s="6" t="s">
        <v>7363</v>
      </c>
      <c r="F1779" s="10"/>
      <c r="G1779" s="11" t="s">
        <v>7353</v>
      </c>
      <c r="H1779" s="12">
        <v>20</v>
      </c>
      <c r="I1779" s="13" t="s">
        <v>41</v>
      </c>
      <c r="J1779" s="13"/>
      <c r="K1779" s="13"/>
      <c r="L1779" s="4">
        <v>5</v>
      </c>
      <c r="M1779" s="14">
        <f>139*(1-P3/100)</f>
        <v>139</v>
      </c>
      <c r="N1779" s="15"/>
      <c r="O1779" s="13">
        <f t="shared" si="76"/>
        <v>0</v>
      </c>
      <c r="P1779" s="22">
        <f>0.072*N1779</f>
        <v>0</v>
      </c>
      <c r="Q1779" s="23">
        <f>0.00056*N1779</f>
        <v>0</v>
      </c>
      <c r="R1779" s="24"/>
      <c r="S1779" s="25" t="s">
        <v>7364</v>
      </c>
      <c r="T1779" s="25" t="s">
        <v>43</v>
      </c>
      <c r="U1779" s="5"/>
      <c r="V1779" s="5" t="s">
        <v>7365</v>
      </c>
      <c r="W1779" s="5" t="s">
        <v>2731</v>
      </c>
      <c r="X1779" s="5"/>
      <c r="Y1779" s="5"/>
      <c r="Z1779" s="5" t="str">
        <f>HYPERLINK("https://knigipp.ru/api/getInfo/image/bb19a865-f3da-11ed-a237-00155d82e902")</f>
        <v>https://knigipp.ru/api/getInfo/image/bb19a865-f3da-11ed-a237-00155d82e902</v>
      </c>
      <c r="AA1779" s="33">
        <v>16</v>
      </c>
      <c r="AB1779" s="5" t="s">
        <v>47</v>
      </c>
      <c r="AC1779" s="5" t="s">
        <v>96</v>
      </c>
      <c r="AD1779" s="5"/>
      <c r="AE1779" s="5" t="s">
        <v>49</v>
      </c>
      <c r="AF1779" s="5"/>
      <c r="AG1779" s="5"/>
      <c r="AH1779" s="5" t="s">
        <v>7349</v>
      </c>
    </row>
    <row r="1780" spans="2:34" ht="21" customHeight="1" outlineLevel="4" x14ac:dyDescent="0.2">
      <c r="B1780" s="42">
        <v>1380</v>
      </c>
      <c r="C1780" s="5" t="s">
        <v>7366</v>
      </c>
      <c r="D1780" s="5" t="s">
        <v>7367</v>
      </c>
      <c r="E1780" s="6" t="s">
        <v>7368</v>
      </c>
      <c r="F1780" s="10"/>
      <c r="G1780" s="11" t="s">
        <v>7353</v>
      </c>
      <c r="H1780" s="12">
        <v>20</v>
      </c>
      <c r="I1780" s="13" t="s">
        <v>41</v>
      </c>
      <c r="J1780" s="13"/>
      <c r="K1780" s="13"/>
      <c r="L1780" s="4">
        <v>5</v>
      </c>
      <c r="M1780" s="14">
        <f>139*(1-P3/100)</f>
        <v>139</v>
      </c>
      <c r="N1780" s="15"/>
      <c r="O1780" s="13">
        <f t="shared" si="76"/>
        <v>0</v>
      </c>
      <c r="P1780" s="22">
        <f>0.074*N1780</f>
        <v>0</v>
      </c>
      <c r="Q1780" s="23">
        <f>0.00081*N1780</f>
        <v>0</v>
      </c>
      <c r="R1780" s="24"/>
      <c r="S1780" s="25" t="s">
        <v>7369</v>
      </c>
      <c r="T1780" s="25" t="s">
        <v>43</v>
      </c>
      <c r="U1780" s="5"/>
      <c r="V1780" s="5" t="s">
        <v>7370</v>
      </c>
      <c r="W1780" s="5" t="s">
        <v>2731</v>
      </c>
      <c r="X1780" s="5"/>
      <c r="Y1780" s="5"/>
      <c r="Z1780" s="5" t="str">
        <f>HYPERLINK("https://knigipp.ru/api/getInfo/image/46989f53-5139-11ed-a21d-ac1f6b442185")</f>
        <v>https://knigipp.ru/api/getInfo/image/46989f53-5139-11ed-a21d-ac1f6b442185</v>
      </c>
      <c r="AA1780" s="33">
        <v>16</v>
      </c>
      <c r="AB1780" s="5" t="s">
        <v>47</v>
      </c>
      <c r="AC1780" s="5" t="s">
        <v>96</v>
      </c>
      <c r="AD1780" s="5"/>
      <c r="AE1780" s="5" t="s">
        <v>49</v>
      </c>
      <c r="AF1780" s="5"/>
      <c r="AG1780" s="5"/>
      <c r="AH1780" s="5" t="s">
        <v>7349</v>
      </c>
    </row>
    <row r="1781" spans="2:34" ht="21" customHeight="1" outlineLevel="4" x14ac:dyDescent="0.2">
      <c r="B1781" s="42">
        <v>1381</v>
      </c>
      <c r="C1781" s="5" t="s">
        <v>7371</v>
      </c>
      <c r="D1781" s="5" t="s">
        <v>7372</v>
      </c>
      <c r="E1781" s="6" t="s">
        <v>7373</v>
      </c>
      <c r="F1781" s="10"/>
      <c r="G1781" s="11" t="s">
        <v>7346</v>
      </c>
      <c r="H1781" s="12">
        <v>20</v>
      </c>
      <c r="I1781" s="13" t="s">
        <v>41</v>
      </c>
      <c r="J1781" s="13"/>
      <c r="K1781" s="13"/>
      <c r="L1781" s="4">
        <v>5</v>
      </c>
      <c r="M1781" s="14">
        <f>139*(1-P3/100)</f>
        <v>139</v>
      </c>
      <c r="N1781" s="15"/>
      <c r="O1781" s="13">
        <f t="shared" si="76"/>
        <v>0</v>
      </c>
      <c r="P1781" s="32">
        <f>0.08*N1781</f>
        <v>0</v>
      </c>
      <c r="Q1781" s="23">
        <f>0.00016*N1781</f>
        <v>0</v>
      </c>
      <c r="R1781" s="24"/>
      <c r="S1781" s="25" t="s">
        <v>7374</v>
      </c>
      <c r="T1781" s="25" t="s">
        <v>43</v>
      </c>
      <c r="U1781" s="5"/>
      <c r="V1781" s="5" t="s">
        <v>7375</v>
      </c>
      <c r="W1781" s="5" t="s">
        <v>2731</v>
      </c>
      <c r="X1781" s="5"/>
      <c r="Y1781" s="5"/>
      <c r="Z1781" s="5" t="str">
        <f>HYPERLINK("https://knigipp.ru/api/getInfo/image/da4a5840-f3da-11ed-a237-00155d82e902")</f>
        <v>https://knigipp.ru/api/getInfo/image/da4a5840-f3da-11ed-a237-00155d82e902</v>
      </c>
      <c r="AA1781" s="33">
        <v>16</v>
      </c>
      <c r="AB1781" s="5" t="s">
        <v>47</v>
      </c>
      <c r="AC1781" s="5" t="s">
        <v>96</v>
      </c>
      <c r="AD1781" s="5"/>
      <c r="AE1781" s="5" t="s">
        <v>49</v>
      </c>
      <c r="AF1781" s="5"/>
      <c r="AG1781" s="5"/>
      <c r="AH1781" s="5" t="s">
        <v>7349</v>
      </c>
    </row>
    <row r="1782" spans="2:34" ht="21" customHeight="1" outlineLevel="4" x14ac:dyDescent="0.2">
      <c r="B1782" s="42">
        <v>1382</v>
      </c>
      <c r="C1782" s="5" t="s">
        <v>7376</v>
      </c>
      <c r="D1782" s="5" t="s">
        <v>7377</v>
      </c>
      <c r="E1782" s="6" t="s">
        <v>7378</v>
      </c>
      <c r="F1782" s="10"/>
      <c r="G1782" s="11" t="s">
        <v>7346</v>
      </c>
      <c r="H1782" s="12">
        <v>20</v>
      </c>
      <c r="I1782" s="13" t="s">
        <v>41</v>
      </c>
      <c r="J1782" s="13"/>
      <c r="K1782" s="13"/>
      <c r="L1782" s="4">
        <v>5</v>
      </c>
      <c r="M1782" s="14">
        <f>139*(1-P3/100)</f>
        <v>139</v>
      </c>
      <c r="N1782" s="15"/>
      <c r="O1782" s="13">
        <f t="shared" si="76"/>
        <v>0</v>
      </c>
      <c r="P1782" s="32">
        <f>0.07*N1782</f>
        <v>0</v>
      </c>
      <c r="Q1782" s="30">
        <f>0.0014*N1782</f>
        <v>0</v>
      </c>
      <c r="R1782" s="24"/>
      <c r="S1782" s="25" t="s">
        <v>7379</v>
      </c>
      <c r="T1782" s="25" t="s">
        <v>43</v>
      </c>
      <c r="U1782" s="5"/>
      <c r="V1782" s="5" t="s">
        <v>7380</v>
      </c>
      <c r="W1782" s="5" t="s">
        <v>2731</v>
      </c>
      <c r="X1782" s="5"/>
      <c r="Y1782" s="5"/>
      <c r="Z1782" s="5" t="str">
        <f>HYPERLINK("https://knigipp.ru/api/getInfo/image/06d85d3f-f3db-11ed-a237-00155d82e902")</f>
        <v>https://knigipp.ru/api/getInfo/image/06d85d3f-f3db-11ed-a237-00155d82e902</v>
      </c>
      <c r="AA1782" s="33">
        <v>16</v>
      </c>
      <c r="AB1782" s="5" t="s">
        <v>47</v>
      </c>
      <c r="AC1782" s="5" t="s">
        <v>96</v>
      </c>
      <c r="AD1782" s="5"/>
      <c r="AE1782" s="5" t="s">
        <v>49</v>
      </c>
      <c r="AF1782" s="5"/>
      <c r="AG1782" s="5"/>
      <c r="AH1782" s="5" t="s">
        <v>7349</v>
      </c>
    </row>
    <row r="1783" spans="2:34" ht="21" customHeight="1" outlineLevel="4" x14ac:dyDescent="0.2">
      <c r="B1783" s="42">
        <v>1383</v>
      </c>
      <c r="C1783" s="5" t="s">
        <v>7381</v>
      </c>
      <c r="D1783" s="5" t="s">
        <v>7382</v>
      </c>
      <c r="E1783" s="6" t="s">
        <v>7383</v>
      </c>
      <c r="F1783" s="10"/>
      <c r="G1783" s="11" t="s">
        <v>7353</v>
      </c>
      <c r="H1783" s="12">
        <v>20</v>
      </c>
      <c r="I1783" s="13" t="s">
        <v>41</v>
      </c>
      <c r="J1783" s="13"/>
      <c r="K1783" s="13"/>
      <c r="L1783" s="4">
        <v>5</v>
      </c>
      <c r="M1783" s="14">
        <f>139*(1-P3/100)</f>
        <v>139</v>
      </c>
      <c r="N1783" s="15"/>
      <c r="O1783" s="13">
        <f t="shared" si="76"/>
        <v>0</v>
      </c>
      <c r="P1783" s="32">
        <f>0.07*N1783</f>
        <v>0</v>
      </c>
      <c r="Q1783" s="23">
        <f>0.00108*N1783</f>
        <v>0</v>
      </c>
      <c r="R1783" s="24"/>
      <c r="S1783" s="25" t="s">
        <v>7384</v>
      </c>
      <c r="T1783" s="25" t="s">
        <v>43</v>
      </c>
      <c r="U1783" s="5"/>
      <c r="V1783" s="5" t="s">
        <v>7385</v>
      </c>
      <c r="W1783" s="5" t="s">
        <v>2731</v>
      </c>
      <c r="X1783" s="5"/>
      <c r="Y1783" s="5"/>
      <c r="Z1783" s="5" t="str">
        <f>HYPERLINK("https://knigipp.ru/api/getInfo/image/2126041f-5139-11ed-a21d-ac1f6b442185")</f>
        <v>https://knigipp.ru/api/getInfo/image/2126041f-5139-11ed-a21d-ac1f6b442185</v>
      </c>
      <c r="AA1783" s="33">
        <v>16</v>
      </c>
      <c r="AB1783" s="5" t="s">
        <v>47</v>
      </c>
      <c r="AC1783" s="5" t="s">
        <v>96</v>
      </c>
      <c r="AD1783" s="5"/>
      <c r="AE1783" s="5" t="s">
        <v>49</v>
      </c>
      <c r="AF1783" s="5"/>
      <c r="AG1783" s="5"/>
      <c r="AH1783" s="5" t="s">
        <v>7349</v>
      </c>
    </row>
    <row r="1784" spans="2:34" ht="22.95" customHeight="1" outlineLevel="3" x14ac:dyDescent="0.2">
      <c r="B1784" s="74" t="s">
        <v>7386</v>
      </c>
      <c r="C1784" s="74"/>
      <c r="D1784" s="74"/>
    </row>
    <row r="1785" spans="2:34" ht="21" customHeight="1" outlineLevel="4" x14ac:dyDescent="0.2">
      <c r="B1785" s="42">
        <v>1384</v>
      </c>
      <c r="C1785" s="5" t="s">
        <v>7387</v>
      </c>
      <c r="D1785" s="5" t="s">
        <v>7388</v>
      </c>
      <c r="E1785" s="6" t="s">
        <v>7389</v>
      </c>
      <c r="F1785" s="10"/>
      <c r="G1785" s="11" t="s">
        <v>7390</v>
      </c>
      <c r="H1785" s="12">
        <v>30</v>
      </c>
      <c r="I1785" s="13" t="s">
        <v>41</v>
      </c>
      <c r="J1785" s="13"/>
      <c r="K1785" s="13"/>
      <c r="L1785" s="4">
        <v>8</v>
      </c>
      <c r="M1785" s="14">
        <f>75.15*(1-P3/100)</f>
        <v>75.150000000000006</v>
      </c>
      <c r="N1785" s="15"/>
      <c r="O1785" s="13">
        <f t="shared" ref="O1785:O1792" si="77">M1785*N1785</f>
        <v>0</v>
      </c>
      <c r="P1785" s="22">
        <f>0.079*N1785</f>
        <v>0</v>
      </c>
      <c r="Q1785" s="23">
        <f>0.00007*N1785</f>
        <v>0</v>
      </c>
      <c r="R1785" s="24"/>
      <c r="S1785" s="25" t="s">
        <v>7391</v>
      </c>
      <c r="T1785" s="25" t="s">
        <v>43</v>
      </c>
      <c r="U1785" s="5"/>
      <c r="V1785" s="5" t="s">
        <v>7392</v>
      </c>
      <c r="W1785" s="5" t="s">
        <v>46</v>
      </c>
      <c r="X1785" s="5"/>
      <c r="Y1785" s="5"/>
      <c r="Z1785" s="5" t="str">
        <f>HYPERLINK("https://knigipp.ru/api/getInfo/image/c34ec2b7-6705-11ec-a20f-ac1f6b442185")</f>
        <v>https://knigipp.ru/api/getInfo/image/c34ec2b7-6705-11ec-a20f-ac1f6b442185</v>
      </c>
      <c r="AA1785" s="33">
        <v>16</v>
      </c>
      <c r="AB1785" s="5"/>
      <c r="AC1785" s="5" t="s">
        <v>96</v>
      </c>
      <c r="AD1785" s="5"/>
      <c r="AE1785" s="5" t="s">
        <v>49</v>
      </c>
      <c r="AF1785" s="5"/>
      <c r="AG1785" s="5"/>
      <c r="AH1785" s="5" t="s">
        <v>7393</v>
      </c>
    </row>
    <row r="1786" spans="2:34" ht="21" customHeight="1" outlineLevel="4" x14ac:dyDescent="0.2">
      <c r="B1786" s="42">
        <v>1385</v>
      </c>
      <c r="C1786" s="5" t="s">
        <v>7394</v>
      </c>
      <c r="D1786" s="5" t="s">
        <v>7395</v>
      </c>
      <c r="E1786" s="6" t="s">
        <v>7396</v>
      </c>
      <c r="F1786" s="10"/>
      <c r="G1786" s="11" t="s">
        <v>7397</v>
      </c>
      <c r="H1786" s="12">
        <v>30</v>
      </c>
      <c r="I1786" s="13" t="s">
        <v>41</v>
      </c>
      <c r="J1786" s="13"/>
      <c r="K1786" s="13"/>
      <c r="L1786" s="4">
        <v>8</v>
      </c>
      <c r="M1786" s="14">
        <f>75.15*(1-P3/100)</f>
        <v>75.150000000000006</v>
      </c>
      <c r="N1786" s="15"/>
      <c r="O1786" s="13">
        <f t="shared" si="77"/>
        <v>0</v>
      </c>
      <c r="P1786" s="22">
        <f>0.078*N1786</f>
        <v>0</v>
      </c>
      <c r="Q1786" s="23">
        <f>0.00017*N1786</f>
        <v>0</v>
      </c>
      <c r="R1786" s="24"/>
      <c r="S1786" s="25" t="s">
        <v>7398</v>
      </c>
      <c r="T1786" s="25" t="s">
        <v>43</v>
      </c>
      <c r="U1786" s="5"/>
      <c r="V1786" s="5" t="s">
        <v>7392</v>
      </c>
      <c r="W1786" s="5" t="s">
        <v>46</v>
      </c>
      <c r="X1786" s="5"/>
      <c r="Y1786" s="5"/>
      <c r="Z1786" s="5" t="str">
        <f>HYPERLINK("https://knigipp.ru/api/getInfo/image/5ec5b5a6-85e1-11ed-a22a-00155d82e902")</f>
        <v>https://knigipp.ru/api/getInfo/image/5ec5b5a6-85e1-11ed-a22a-00155d82e902</v>
      </c>
      <c r="AA1786" s="33">
        <v>16</v>
      </c>
      <c r="AB1786" s="5" t="s">
        <v>47</v>
      </c>
      <c r="AC1786" s="5" t="s">
        <v>96</v>
      </c>
      <c r="AD1786" s="5"/>
      <c r="AE1786" s="5" t="s">
        <v>49</v>
      </c>
      <c r="AF1786" s="5"/>
      <c r="AG1786" s="5"/>
      <c r="AH1786" s="5" t="s">
        <v>7393</v>
      </c>
    </row>
    <row r="1787" spans="2:34" ht="21" customHeight="1" outlineLevel="4" x14ac:dyDescent="0.2">
      <c r="B1787" s="42">
        <v>1386</v>
      </c>
      <c r="C1787" s="5" t="s">
        <v>7399</v>
      </c>
      <c r="D1787" s="5" t="s">
        <v>7400</v>
      </c>
      <c r="E1787" s="6" t="s">
        <v>7401</v>
      </c>
      <c r="F1787" s="10"/>
      <c r="G1787" s="11" t="s">
        <v>7397</v>
      </c>
      <c r="H1787" s="12">
        <v>30</v>
      </c>
      <c r="I1787" s="13" t="s">
        <v>41</v>
      </c>
      <c r="J1787" s="13"/>
      <c r="K1787" s="13"/>
      <c r="L1787" s="4">
        <v>8</v>
      </c>
      <c r="M1787" s="14">
        <f>75.15*(1-P3/100)</f>
        <v>75.150000000000006</v>
      </c>
      <c r="N1787" s="15"/>
      <c r="O1787" s="13">
        <f t="shared" si="77"/>
        <v>0</v>
      </c>
      <c r="P1787" s="22">
        <f>0.084*N1787</f>
        <v>0</v>
      </c>
      <c r="Q1787" s="23">
        <f>0.00016*N1787</f>
        <v>0</v>
      </c>
      <c r="R1787" s="24"/>
      <c r="S1787" s="25" t="s">
        <v>7402</v>
      </c>
      <c r="T1787" s="25" t="s">
        <v>43</v>
      </c>
      <c r="U1787" s="5"/>
      <c r="V1787" s="5" t="s">
        <v>7392</v>
      </c>
      <c r="W1787" s="5" t="s">
        <v>46</v>
      </c>
      <c r="X1787" s="5"/>
      <c r="Y1787" s="5"/>
      <c r="Z1787" s="5" t="str">
        <f>HYPERLINK("https://knigipp.ru/api/getInfo/image/3c9ffed1-85e1-11ed-a22a-00155d82e902")</f>
        <v>https://knigipp.ru/api/getInfo/image/3c9ffed1-85e1-11ed-a22a-00155d82e902</v>
      </c>
      <c r="AA1787" s="33">
        <v>16</v>
      </c>
      <c r="AB1787" s="5"/>
      <c r="AC1787" s="5" t="s">
        <v>96</v>
      </c>
      <c r="AD1787" s="5"/>
      <c r="AE1787" s="5" t="s">
        <v>49</v>
      </c>
      <c r="AF1787" s="5"/>
      <c r="AG1787" s="5"/>
      <c r="AH1787" s="5" t="s">
        <v>7393</v>
      </c>
    </row>
    <row r="1788" spans="2:34" ht="21" customHeight="1" outlineLevel="4" x14ac:dyDescent="0.2">
      <c r="B1788" s="42">
        <v>1387</v>
      </c>
      <c r="C1788" s="5" t="s">
        <v>7403</v>
      </c>
      <c r="D1788" s="5" t="s">
        <v>7404</v>
      </c>
      <c r="E1788" s="6" t="s">
        <v>7405</v>
      </c>
      <c r="F1788" s="10"/>
      <c r="G1788" s="11" t="s">
        <v>7397</v>
      </c>
      <c r="H1788" s="12">
        <v>30</v>
      </c>
      <c r="I1788" s="13" t="s">
        <v>41</v>
      </c>
      <c r="J1788" s="13"/>
      <c r="K1788" s="13"/>
      <c r="L1788" s="4">
        <v>8</v>
      </c>
      <c r="M1788" s="14">
        <f>75.15*(1-P3/100)</f>
        <v>75.150000000000006</v>
      </c>
      <c r="N1788" s="15"/>
      <c r="O1788" s="13">
        <f t="shared" si="77"/>
        <v>0</v>
      </c>
      <c r="P1788" s="22">
        <f>0.077*N1788</f>
        <v>0</v>
      </c>
      <c r="Q1788" s="23">
        <f>0.00092*N1788</f>
        <v>0</v>
      </c>
      <c r="R1788" s="24"/>
      <c r="S1788" s="25" t="s">
        <v>7406</v>
      </c>
      <c r="T1788" s="25" t="s">
        <v>43</v>
      </c>
      <c r="U1788" s="5"/>
      <c r="V1788" s="5" t="s">
        <v>7392</v>
      </c>
      <c r="W1788" s="5" t="s">
        <v>46</v>
      </c>
      <c r="X1788" s="5"/>
      <c r="Y1788" s="5"/>
      <c r="Z1788" s="5" t="str">
        <f>HYPERLINK("https://knigipp.ru/api/getInfo/image/8583fcd9-85e1-11ed-a22a-00155d82e902")</f>
        <v>https://knigipp.ru/api/getInfo/image/8583fcd9-85e1-11ed-a22a-00155d82e902</v>
      </c>
      <c r="AA1788" s="33">
        <v>16</v>
      </c>
      <c r="AB1788" s="5" t="s">
        <v>47</v>
      </c>
      <c r="AC1788" s="5" t="s">
        <v>96</v>
      </c>
      <c r="AD1788" s="5"/>
      <c r="AE1788" s="5" t="s">
        <v>49</v>
      </c>
      <c r="AF1788" s="5"/>
      <c r="AG1788" s="5"/>
      <c r="AH1788" s="5" t="s">
        <v>7393</v>
      </c>
    </row>
    <row r="1789" spans="2:34" ht="21" customHeight="1" outlineLevel="4" x14ac:dyDescent="0.2">
      <c r="B1789" s="42">
        <v>1388</v>
      </c>
      <c r="C1789" s="5" t="s">
        <v>7407</v>
      </c>
      <c r="D1789" s="5" t="s">
        <v>7408</v>
      </c>
      <c r="E1789" s="6" t="s">
        <v>7409</v>
      </c>
      <c r="F1789" s="10"/>
      <c r="G1789" s="11" t="s">
        <v>7390</v>
      </c>
      <c r="H1789" s="12">
        <v>30</v>
      </c>
      <c r="I1789" s="13" t="s">
        <v>41</v>
      </c>
      <c r="J1789" s="13"/>
      <c r="K1789" s="13"/>
      <c r="L1789" s="4">
        <v>8</v>
      </c>
      <c r="M1789" s="14">
        <f>75.15*(1-P3/100)</f>
        <v>75.150000000000006</v>
      </c>
      <c r="N1789" s="15"/>
      <c r="O1789" s="13">
        <f t="shared" si="77"/>
        <v>0</v>
      </c>
      <c r="P1789" s="22">
        <f>0.079*N1789</f>
        <v>0</v>
      </c>
      <c r="Q1789" s="23">
        <f>0.00102*N1789</f>
        <v>0</v>
      </c>
      <c r="R1789" s="24"/>
      <c r="S1789" s="25" t="s">
        <v>7410</v>
      </c>
      <c r="T1789" s="25" t="s">
        <v>43</v>
      </c>
      <c r="U1789" s="5"/>
      <c r="V1789" s="5" t="s">
        <v>7392</v>
      </c>
      <c r="W1789" s="5" t="s">
        <v>46</v>
      </c>
      <c r="X1789" s="5"/>
      <c r="Y1789" s="5"/>
      <c r="Z1789" s="5" t="str">
        <f>HYPERLINK("https://knigipp.ru/api/getInfo/image/44b8edc1-6706-11ec-a20f-ac1f6b442185")</f>
        <v>https://knigipp.ru/api/getInfo/image/44b8edc1-6706-11ec-a20f-ac1f6b442185</v>
      </c>
      <c r="AA1789" s="33">
        <v>16</v>
      </c>
      <c r="AB1789" s="5"/>
      <c r="AC1789" s="5" t="s">
        <v>96</v>
      </c>
      <c r="AD1789" s="5"/>
      <c r="AE1789" s="5" t="s">
        <v>49</v>
      </c>
      <c r="AF1789" s="5"/>
      <c r="AG1789" s="5"/>
      <c r="AH1789" s="5" t="s">
        <v>7393</v>
      </c>
    </row>
    <row r="1790" spans="2:34" ht="21" customHeight="1" outlineLevel="4" x14ac:dyDescent="0.2">
      <c r="B1790" s="42">
        <v>1389</v>
      </c>
      <c r="C1790" s="5" t="s">
        <v>7411</v>
      </c>
      <c r="D1790" s="5" t="s">
        <v>7412</v>
      </c>
      <c r="E1790" s="6" t="s">
        <v>7413</v>
      </c>
      <c r="F1790" s="10"/>
      <c r="G1790" s="11" t="s">
        <v>7390</v>
      </c>
      <c r="H1790" s="12">
        <v>30</v>
      </c>
      <c r="I1790" s="13" t="s">
        <v>41</v>
      </c>
      <c r="J1790" s="13"/>
      <c r="K1790" s="13"/>
      <c r="L1790" s="4">
        <v>8</v>
      </c>
      <c r="M1790" s="14">
        <f>75.15*(1-P3/100)</f>
        <v>75.150000000000006</v>
      </c>
      <c r="N1790" s="15"/>
      <c r="O1790" s="13">
        <f t="shared" si="77"/>
        <v>0</v>
      </c>
      <c r="P1790" s="22">
        <f>0.083*N1790</f>
        <v>0</v>
      </c>
      <c r="Q1790" s="30">
        <f>0.0004*N1790</f>
        <v>0</v>
      </c>
      <c r="R1790" s="24"/>
      <c r="S1790" s="25" t="s">
        <v>7414</v>
      </c>
      <c r="T1790" s="25" t="s">
        <v>43</v>
      </c>
      <c r="U1790" s="5"/>
      <c r="V1790" s="5" t="s">
        <v>7392</v>
      </c>
      <c r="W1790" s="5" t="s">
        <v>46</v>
      </c>
      <c r="X1790" s="5"/>
      <c r="Y1790" s="5"/>
      <c r="Z1790" s="5" t="str">
        <f>HYPERLINK("https://knigipp.ru/api/getInfo/image/853b080c-6706-11ec-a20f-ac1f6b442185")</f>
        <v>https://knigipp.ru/api/getInfo/image/853b080c-6706-11ec-a20f-ac1f6b442185</v>
      </c>
      <c r="AA1790" s="33">
        <v>16</v>
      </c>
      <c r="AB1790" s="5"/>
      <c r="AC1790" s="5" t="s">
        <v>96</v>
      </c>
      <c r="AD1790" s="5"/>
      <c r="AE1790" s="5" t="s">
        <v>49</v>
      </c>
      <c r="AF1790" s="5"/>
      <c r="AG1790" s="5"/>
      <c r="AH1790" s="5" t="s">
        <v>7393</v>
      </c>
    </row>
    <row r="1791" spans="2:34" ht="21" customHeight="1" outlineLevel="4" x14ac:dyDescent="0.2">
      <c r="B1791" s="42">
        <v>1390</v>
      </c>
      <c r="C1791" s="5" t="s">
        <v>7415</v>
      </c>
      <c r="D1791" s="5" t="s">
        <v>7416</v>
      </c>
      <c r="E1791" s="6" t="s">
        <v>7417</v>
      </c>
      <c r="F1791" s="10"/>
      <c r="G1791" s="11" t="s">
        <v>7390</v>
      </c>
      <c r="H1791" s="12">
        <v>30</v>
      </c>
      <c r="I1791" s="13" t="s">
        <v>41</v>
      </c>
      <c r="J1791" s="13"/>
      <c r="K1791" s="13"/>
      <c r="L1791" s="4">
        <v>8</v>
      </c>
      <c r="M1791" s="14">
        <f>75.15*(1-P3/100)</f>
        <v>75.150000000000006</v>
      </c>
      <c r="N1791" s="15"/>
      <c r="O1791" s="13">
        <f t="shared" si="77"/>
        <v>0</v>
      </c>
      <c r="P1791" s="22">
        <f>0.078*N1791</f>
        <v>0</v>
      </c>
      <c r="Q1791" s="23">
        <f>0.00024*N1791</f>
        <v>0</v>
      </c>
      <c r="R1791" s="24"/>
      <c r="S1791" s="25" t="s">
        <v>7418</v>
      </c>
      <c r="T1791" s="25" t="s">
        <v>43</v>
      </c>
      <c r="U1791" s="5"/>
      <c r="V1791" s="5" t="s">
        <v>7392</v>
      </c>
      <c r="W1791" s="5" t="s">
        <v>46</v>
      </c>
      <c r="X1791" s="5"/>
      <c r="Y1791" s="5"/>
      <c r="Z1791" s="5" t="str">
        <f>HYPERLINK("https://knigipp.ru/api/getInfo/image/be895613-6706-11ec-a20f-ac1f6b442185")</f>
        <v>https://knigipp.ru/api/getInfo/image/be895613-6706-11ec-a20f-ac1f6b442185</v>
      </c>
      <c r="AA1791" s="33">
        <v>16</v>
      </c>
      <c r="AB1791" s="5"/>
      <c r="AC1791" s="5" t="s">
        <v>96</v>
      </c>
      <c r="AD1791" s="5"/>
      <c r="AE1791" s="5" t="s">
        <v>49</v>
      </c>
      <c r="AF1791" s="5"/>
      <c r="AG1791" s="5"/>
      <c r="AH1791" s="5" t="s">
        <v>7393</v>
      </c>
    </row>
    <row r="1792" spans="2:34" ht="21" customHeight="1" outlineLevel="4" x14ac:dyDescent="0.2">
      <c r="B1792" s="42">
        <v>1391</v>
      </c>
      <c r="C1792" s="5" t="s">
        <v>7419</v>
      </c>
      <c r="D1792" s="5" t="s">
        <v>7420</v>
      </c>
      <c r="E1792" s="6" t="s">
        <v>7421</v>
      </c>
      <c r="F1792" s="10"/>
      <c r="G1792" s="11" t="s">
        <v>7397</v>
      </c>
      <c r="H1792" s="12">
        <v>30</v>
      </c>
      <c r="I1792" s="13" t="s">
        <v>41</v>
      </c>
      <c r="J1792" s="13"/>
      <c r="K1792" s="13"/>
      <c r="L1792" s="4">
        <v>8</v>
      </c>
      <c r="M1792" s="14">
        <f>75.15*(1-P3/100)</f>
        <v>75.150000000000006</v>
      </c>
      <c r="N1792" s="15"/>
      <c r="O1792" s="13">
        <f t="shared" si="77"/>
        <v>0</v>
      </c>
      <c r="P1792" s="22">
        <f>0.075*N1792</f>
        <v>0</v>
      </c>
      <c r="Q1792" s="23">
        <f>0.00088*N1792</f>
        <v>0</v>
      </c>
      <c r="R1792" s="24"/>
      <c r="S1792" s="25" t="s">
        <v>7422</v>
      </c>
      <c r="T1792" s="25" t="s">
        <v>43</v>
      </c>
      <c r="U1792" s="5"/>
      <c r="V1792" s="5" t="s">
        <v>7392</v>
      </c>
      <c r="W1792" s="5" t="s">
        <v>46</v>
      </c>
      <c r="X1792" s="5"/>
      <c r="Y1792" s="5"/>
      <c r="Z1792" s="5" t="str">
        <f>HYPERLINK("https://knigipp.ru/api/getInfo/image/ac6605dc-85e1-11ed-a22a-00155d82e902")</f>
        <v>https://knigipp.ru/api/getInfo/image/ac6605dc-85e1-11ed-a22a-00155d82e902</v>
      </c>
      <c r="AA1792" s="33">
        <v>16</v>
      </c>
      <c r="AB1792" s="5" t="s">
        <v>47</v>
      </c>
      <c r="AC1792" s="5" t="s">
        <v>96</v>
      </c>
      <c r="AD1792" s="5"/>
      <c r="AE1792" s="5" t="s">
        <v>49</v>
      </c>
      <c r="AF1792" s="5"/>
      <c r="AG1792" s="5"/>
      <c r="AH1792" s="5" t="s">
        <v>7393</v>
      </c>
    </row>
    <row r="1793" spans="2:34" ht="22.95" customHeight="1" outlineLevel="3" x14ac:dyDescent="0.2">
      <c r="B1793" s="74" t="s">
        <v>7423</v>
      </c>
      <c r="C1793" s="74"/>
      <c r="D1793" s="74"/>
    </row>
    <row r="1794" spans="2:34" ht="21" customHeight="1" outlineLevel="4" x14ac:dyDescent="0.2">
      <c r="B1794" s="42">
        <v>1392</v>
      </c>
      <c r="C1794" s="5" t="s">
        <v>7424</v>
      </c>
      <c r="D1794" s="5" t="s">
        <v>7425</v>
      </c>
      <c r="E1794" s="6" t="s">
        <v>7426</v>
      </c>
      <c r="F1794" s="10"/>
      <c r="G1794" s="11" t="s">
        <v>7427</v>
      </c>
      <c r="H1794" s="12">
        <v>30</v>
      </c>
      <c r="I1794" s="13" t="s">
        <v>41</v>
      </c>
      <c r="J1794" s="13"/>
      <c r="K1794" s="13"/>
      <c r="L1794" s="4">
        <v>5</v>
      </c>
      <c r="M1794" s="14">
        <f>127*(1-P3/100)</f>
        <v>127</v>
      </c>
      <c r="N1794" s="15"/>
      <c r="O1794" s="13">
        <f>M1794*N1794</f>
        <v>0</v>
      </c>
      <c r="P1794" s="22">
        <f>0.126*N1794</f>
        <v>0</v>
      </c>
      <c r="Q1794" s="23">
        <f>0.00166*N1794</f>
        <v>0</v>
      </c>
      <c r="R1794" s="24"/>
      <c r="S1794" s="25" t="s">
        <v>7428</v>
      </c>
      <c r="T1794" s="25" t="s">
        <v>43</v>
      </c>
      <c r="U1794" s="5"/>
      <c r="V1794" s="5" t="s">
        <v>7429</v>
      </c>
      <c r="W1794" s="5" t="s">
        <v>46</v>
      </c>
      <c r="X1794" s="5"/>
      <c r="Y1794" s="5"/>
      <c r="Z1794" s="5" t="str">
        <f>HYPERLINK("https://knigipp.ru/api/getInfo/image/f4a12076-9051-11ee-a250-00155d82e908")</f>
        <v>https://knigipp.ru/api/getInfo/image/f4a12076-9051-11ee-a250-00155d82e908</v>
      </c>
      <c r="AA1794" s="33">
        <v>16</v>
      </c>
      <c r="AB1794" s="5" t="s">
        <v>47</v>
      </c>
      <c r="AC1794" s="5" t="s">
        <v>96</v>
      </c>
      <c r="AD1794" s="5"/>
      <c r="AE1794" s="5" t="s">
        <v>49</v>
      </c>
      <c r="AF1794" s="5"/>
      <c r="AG1794" s="5"/>
      <c r="AH1794" s="5" t="s">
        <v>4479</v>
      </c>
    </row>
    <row r="1795" spans="2:34" ht="21" customHeight="1" outlineLevel="4" x14ac:dyDescent="0.2">
      <c r="B1795" s="42">
        <v>1393</v>
      </c>
      <c r="C1795" s="5" t="s">
        <v>7430</v>
      </c>
      <c r="D1795" s="5" t="s">
        <v>7431</v>
      </c>
      <c r="E1795" s="6" t="s">
        <v>7432</v>
      </c>
      <c r="F1795" s="10"/>
      <c r="G1795" s="11" t="s">
        <v>7427</v>
      </c>
      <c r="H1795" s="12">
        <v>30</v>
      </c>
      <c r="I1795" s="13" t="s">
        <v>41</v>
      </c>
      <c r="J1795" s="13"/>
      <c r="K1795" s="13"/>
      <c r="L1795" s="4">
        <v>5</v>
      </c>
      <c r="M1795" s="14">
        <f>127*(1-P3/100)</f>
        <v>127</v>
      </c>
      <c r="N1795" s="15"/>
      <c r="O1795" s="13">
        <f>M1795*N1795</f>
        <v>0</v>
      </c>
      <c r="P1795" s="13">
        <v>0</v>
      </c>
      <c r="Q1795" s="13">
        <v>0</v>
      </c>
      <c r="R1795" s="24"/>
      <c r="S1795" s="25" t="s">
        <v>7433</v>
      </c>
      <c r="T1795" s="25" t="s">
        <v>43</v>
      </c>
      <c r="U1795" s="5"/>
      <c r="V1795" s="5" t="s">
        <v>7434</v>
      </c>
      <c r="W1795" s="5" t="s">
        <v>46</v>
      </c>
      <c r="X1795" s="5"/>
      <c r="Y1795" s="5"/>
      <c r="Z1795" s="5" t="str">
        <f>HYPERLINK("https://knigipp.ru/api/getInfo/image/c6a8a21d-9051-11ee-a250-00155d82e908")</f>
        <v>https://knigipp.ru/api/getInfo/image/c6a8a21d-9051-11ee-a250-00155d82e908</v>
      </c>
      <c r="AA1795" s="33">
        <v>16</v>
      </c>
      <c r="AB1795" s="5" t="s">
        <v>47</v>
      </c>
      <c r="AC1795" s="5" t="s">
        <v>96</v>
      </c>
      <c r="AD1795" s="5"/>
      <c r="AE1795" s="5" t="s">
        <v>49</v>
      </c>
      <c r="AF1795" s="5"/>
      <c r="AG1795" s="5"/>
      <c r="AH1795" s="5" t="s">
        <v>4479</v>
      </c>
    </row>
    <row r="1796" spans="2:34" ht="21" customHeight="1" outlineLevel="4" x14ac:dyDescent="0.2">
      <c r="B1796" s="42">
        <v>1394</v>
      </c>
      <c r="C1796" s="5" t="s">
        <v>7435</v>
      </c>
      <c r="D1796" s="5" t="s">
        <v>7436</v>
      </c>
      <c r="E1796" s="6" t="s">
        <v>7437</v>
      </c>
      <c r="F1796" s="10"/>
      <c r="G1796" s="11" t="s">
        <v>7427</v>
      </c>
      <c r="H1796" s="12">
        <v>30</v>
      </c>
      <c r="I1796" s="13" t="s">
        <v>41</v>
      </c>
      <c r="J1796" s="13"/>
      <c r="K1796" s="13"/>
      <c r="L1796" s="4">
        <v>5</v>
      </c>
      <c r="M1796" s="14">
        <f>127*(1-P3/100)</f>
        <v>127</v>
      </c>
      <c r="N1796" s="15"/>
      <c r="O1796" s="13">
        <f>M1796*N1796</f>
        <v>0</v>
      </c>
      <c r="P1796" s="13">
        <v>0</v>
      </c>
      <c r="Q1796" s="13">
        <v>0</v>
      </c>
      <c r="R1796" s="24"/>
      <c r="S1796" s="25" t="s">
        <v>7438</v>
      </c>
      <c r="T1796" s="25" t="s">
        <v>43</v>
      </c>
      <c r="U1796" s="5"/>
      <c r="V1796" s="5" t="s">
        <v>7439</v>
      </c>
      <c r="W1796" s="5" t="s">
        <v>46</v>
      </c>
      <c r="X1796" s="5"/>
      <c r="Y1796" s="5"/>
      <c r="Z1796" s="5" t="str">
        <f>HYPERLINK("https://knigipp.ru/api/getInfo/image/966a6496-9051-11ee-a250-00155d82e908")</f>
        <v>https://knigipp.ru/api/getInfo/image/966a6496-9051-11ee-a250-00155d82e908</v>
      </c>
      <c r="AA1796" s="33">
        <v>16</v>
      </c>
      <c r="AB1796" s="5" t="s">
        <v>47</v>
      </c>
      <c r="AC1796" s="5" t="s">
        <v>96</v>
      </c>
      <c r="AD1796" s="5"/>
      <c r="AE1796" s="5" t="s">
        <v>49</v>
      </c>
      <c r="AF1796" s="5"/>
      <c r="AG1796" s="5"/>
      <c r="AH1796" s="5" t="s">
        <v>4479</v>
      </c>
    </row>
    <row r="1797" spans="2:34" ht="21" customHeight="1" outlineLevel="4" x14ac:dyDescent="0.2">
      <c r="B1797" s="42">
        <v>1395</v>
      </c>
      <c r="C1797" s="5" t="s">
        <v>7440</v>
      </c>
      <c r="D1797" s="5" t="s">
        <v>7441</v>
      </c>
      <c r="E1797" s="6" t="s">
        <v>7442</v>
      </c>
      <c r="F1797" s="10"/>
      <c r="G1797" s="11" t="s">
        <v>7427</v>
      </c>
      <c r="H1797" s="12">
        <v>30</v>
      </c>
      <c r="I1797" s="13" t="s">
        <v>41</v>
      </c>
      <c r="J1797" s="13"/>
      <c r="K1797" s="13"/>
      <c r="L1797" s="4">
        <v>5</v>
      </c>
      <c r="M1797" s="14">
        <f>127*(1-P3/100)</f>
        <v>127</v>
      </c>
      <c r="N1797" s="15"/>
      <c r="O1797" s="13">
        <f>M1797*N1797</f>
        <v>0</v>
      </c>
      <c r="P1797" s="13">
        <v>0</v>
      </c>
      <c r="Q1797" s="13">
        <v>0</v>
      </c>
      <c r="R1797" s="24"/>
      <c r="S1797" s="25" t="s">
        <v>7443</v>
      </c>
      <c r="T1797" s="25" t="s">
        <v>43</v>
      </c>
      <c r="U1797" s="5"/>
      <c r="V1797" s="5" t="s">
        <v>7444</v>
      </c>
      <c r="W1797" s="5" t="s">
        <v>46</v>
      </c>
      <c r="X1797" s="5"/>
      <c r="Y1797" s="5"/>
      <c r="Z1797" s="5" t="str">
        <f>HYPERLINK("https://knigipp.ru/api/getInfo/image/3d90f7cd-9051-11ee-a250-00155d82e908")</f>
        <v>https://knigipp.ru/api/getInfo/image/3d90f7cd-9051-11ee-a250-00155d82e908</v>
      </c>
      <c r="AA1797" s="33">
        <v>16</v>
      </c>
      <c r="AB1797" s="5" t="s">
        <v>47</v>
      </c>
      <c r="AC1797" s="5" t="s">
        <v>96</v>
      </c>
      <c r="AD1797" s="5"/>
      <c r="AE1797" s="5" t="s">
        <v>49</v>
      </c>
      <c r="AF1797" s="5"/>
      <c r="AG1797" s="5"/>
      <c r="AH1797" s="5" t="s">
        <v>4479</v>
      </c>
    </row>
    <row r="1798" spans="2:34" ht="22.95" customHeight="1" outlineLevel="3" x14ac:dyDescent="0.2">
      <c r="B1798" s="74" t="s">
        <v>7445</v>
      </c>
      <c r="C1798" s="74"/>
      <c r="D1798" s="74"/>
    </row>
    <row r="1799" spans="2:34" ht="21" customHeight="1" outlineLevel="4" x14ac:dyDescent="0.2">
      <c r="B1799" s="42">
        <v>1396</v>
      </c>
      <c r="C1799" s="5" t="s">
        <v>7446</v>
      </c>
      <c r="D1799" s="5" t="s">
        <v>7447</v>
      </c>
      <c r="E1799" s="6" t="s">
        <v>7448</v>
      </c>
      <c r="F1799" s="10"/>
      <c r="G1799" s="11" t="s">
        <v>7449</v>
      </c>
      <c r="H1799" s="12">
        <v>30</v>
      </c>
      <c r="I1799" s="13" t="s">
        <v>41</v>
      </c>
      <c r="J1799" s="13"/>
      <c r="K1799" s="13"/>
      <c r="L1799" s="4">
        <v>3</v>
      </c>
      <c r="M1799" s="14">
        <f>217*(1-P3/100)</f>
        <v>217</v>
      </c>
      <c r="N1799" s="15"/>
      <c r="O1799" s="13">
        <f>M1799*N1799</f>
        <v>0</v>
      </c>
      <c r="P1799" s="22">
        <f>0.115*N1799</f>
        <v>0</v>
      </c>
      <c r="Q1799" s="30">
        <f>0.0018*N1799</f>
        <v>0</v>
      </c>
      <c r="R1799" s="24"/>
      <c r="S1799" s="25" t="s">
        <v>7450</v>
      </c>
      <c r="T1799" s="25" t="s">
        <v>43</v>
      </c>
      <c r="U1799" s="5"/>
      <c r="V1799" s="5" t="s">
        <v>7451</v>
      </c>
      <c r="W1799" s="5" t="s">
        <v>46</v>
      </c>
      <c r="X1799" s="5"/>
      <c r="Y1799" s="5"/>
      <c r="Z1799" s="5" t="str">
        <f>HYPERLINK("https://knigipp.ru/api/getInfo/image/f7cc4669-1f4b-11ef-a25f-00155d82e908")</f>
        <v>https://knigipp.ru/api/getInfo/image/f7cc4669-1f4b-11ef-a25f-00155d82e908</v>
      </c>
      <c r="AA1799" s="33">
        <v>16</v>
      </c>
      <c r="AB1799" s="5" t="s">
        <v>47</v>
      </c>
      <c r="AC1799" s="5" t="s">
        <v>96</v>
      </c>
      <c r="AD1799" s="5"/>
      <c r="AE1799" s="5" t="s">
        <v>49</v>
      </c>
      <c r="AF1799" s="5"/>
      <c r="AG1799" s="5"/>
      <c r="AH1799" s="5" t="s">
        <v>7452</v>
      </c>
    </row>
    <row r="1800" spans="2:34" ht="21" customHeight="1" outlineLevel="4" x14ac:dyDescent="0.2">
      <c r="B1800" s="42">
        <v>1397</v>
      </c>
      <c r="C1800" s="5" t="s">
        <v>7453</v>
      </c>
      <c r="D1800" s="5" t="s">
        <v>7454</v>
      </c>
      <c r="E1800" s="6" t="s">
        <v>7455</v>
      </c>
      <c r="F1800" s="10"/>
      <c r="G1800" s="11" t="s">
        <v>7449</v>
      </c>
      <c r="H1800" s="12">
        <v>30</v>
      </c>
      <c r="I1800" s="13" t="s">
        <v>41</v>
      </c>
      <c r="J1800" s="13"/>
      <c r="K1800" s="13"/>
      <c r="L1800" s="4">
        <v>3</v>
      </c>
      <c r="M1800" s="14">
        <f>217*(1-P3/100)</f>
        <v>217</v>
      </c>
      <c r="N1800" s="15"/>
      <c r="O1800" s="13">
        <f>M1800*N1800</f>
        <v>0</v>
      </c>
      <c r="P1800" s="22">
        <f>0.117*N1800</f>
        <v>0</v>
      </c>
      <c r="Q1800" s="23">
        <f>0.00196*N1800</f>
        <v>0</v>
      </c>
      <c r="R1800" s="24"/>
      <c r="S1800" s="25" t="s">
        <v>7456</v>
      </c>
      <c r="T1800" s="25" t="s">
        <v>43</v>
      </c>
      <c r="U1800" s="5"/>
      <c r="V1800" s="5" t="s">
        <v>7457</v>
      </c>
      <c r="W1800" s="5" t="s">
        <v>46</v>
      </c>
      <c r="X1800" s="5"/>
      <c r="Y1800" s="5"/>
      <c r="Z1800" s="5" t="str">
        <f>HYPERLINK("https://knigipp.ru/api/getInfo/image/9db5e643-1f4b-11ef-a25f-00155d82e908")</f>
        <v>https://knigipp.ru/api/getInfo/image/9db5e643-1f4b-11ef-a25f-00155d82e908</v>
      </c>
      <c r="AA1800" s="33">
        <v>16</v>
      </c>
      <c r="AB1800" s="5" t="s">
        <v>47</v>
      </c>
      <c r="AC1800" s="5" t="s">
        <v>96</v>
      </c>
      <c r="AD1800" s="5"/>
      <c r="AE1800" s="5" t="s">
        <v>49</v>
      </c>
      <c r="AF1800" s="5"/>
      <c r="AG1800" s="5"/>
      <c r="AH1800" s="5" t="s">
        <v>7452</v>
      </c>
    </row>
    <row r="1801" spans="2:34" ht="21" customHeight="1" outlineLevel="4" x14ac:dyDescent="0.2">
      <c r="B1801" s="42">
        <v>1398</v>
      </c>
      <c r="C1801" s="5" t="s">
        <v>7458</v>
      </c>
      <c r="D1801" s="5" t="s">
        <v>7459</v>
      </c>
      <c r="E1801" s="6" t="s">
        <v>7460</v>
      </c>
      <c r="F1801" s="10"/>
      <c r="G1801" s="11" t="s">
        <v>7449</v>
      </c>
      <c r="H1801" s="12">
        <v>30</v>
      </c>
      <c r="I1801" s="13" t="s">
        <v>41</v>
      </c>
      <c r="J1801" s="13"/>
      <c r="K1801" s="13"/>
      <c r="L1801" s="4">
        <v>3</v>
      </c>
      <c r="M1801" s="14">
        <f>217*(1-P3/100)</f>
        <v>217</v>
      </c>
      <c r="N1801" s="15"/>
      <c r="O1801" s="13">
        <f>M1801*N1801</f>
        <v>0</v>
      </c>
      <c r="P1801" s="32">
        <f>0.12*N1801</f>
        <v>0</v>
      </c>
      <c r="Q1801" s="23">
        <f>0.00265*N1801</f>
        <v>0</v>
      </c>
      <c r="R1801" s="24"/>
      <c r="S1801" s="25" t="s">
        <v>7461</v>
      </c>
      <c r="T1801" s="25" t="s">
        <v>43</v>
      </c>
      <c r="U1801" s="5"/>
      <c r="V1801" s="5" t="s">
        <v>7462</v>
      </c>
      <c r="W1801" s="5" t="s">
        <v>46</v>
      </c>
      <c r="X1801" s="5"/>
      <c r="Y1801" s="5"/>
      <c r="Z1801" s="5" t="str">
        <f>HYPERLINK("https://knigipp.ru/api/getInfo/image/14852665-1f4c-11ef-a25f-00155d82e908")</f>
        <v>https://knigipp.ru/api/getInfo/image/14852665-1f4c-11ef-a25f-00155d82e908</v>
      </c>
      <c r="AA1801" s="33">
        <v>16</v>
      </c>
      <c r="AB1801" s="5" t="s">
        <v>47</v>
      </c>
      <c r="AC1801" s="5" t="s">
        <v>96</v>
      </c>
      <c r="AD1801" s="5"/>
      <c r="AE1801" s="5" t="s">
        <v>49</v>
      </c>
      <c r="AF1801" s="5"/>
      <c r="AG1801" s="5"/>
      <c r="AH1801" s="5" t="s">
        <v>7452</v>
      </c>
    </row>
    <row r="1802" spans="2:34" ht="21" customHeight="1" outlineLevel="4" x14ac:dyDescent="0.2">
      <c r="B1802" s="42">
        <v>1399</v>
      </c>
      <c r="C1802" s="5" t="s">
        <v>7463</v>
      </c>
      <c r="D1802" s="5" t="s">
        <v>7464</v>
      </c>
      <c r="E1802" s="6" t="s">
        <v>7465</v>
      </c>
      <c r="F1802" s="10"/>
      <c r="G1802" s="11" t="s">
        <v>7449</v>
      </c>
      <c r="H1802" s="12">
        <v>30</v>
      </c>
      <c r="I1802" s="13" t="s">
        <v>41</v>
      </c>
      <c r="J1802" s="13"/>
      <c r="K1802" s="13"/>
      <c r="L1802" s="4">
        <v>3</v>
      </c>
      <c r="M1802" s="14">
        <f>217*(1-P3/100)</f>
        <v>217</v>
      </c>
      <c r="N1802" s="15"/>
      <c r="O1802" s="13">
        <f>M1802*N1802</f>
        <v>0</v>
      </c>
      <c r="P1802" s="22">
        <f>0.121*N1802</f>
        <v>0</v>
      </c>
      <c r="Q1802" s="23">
        <f>0.00257*N1802</f>
        <v>0</v>
      </c>
      <c r="R1802" s="24"/>
      <c r="S1802" s="25" t="s">
        <v>7466</v>
      </c>
      <c r="T1802" s="25" t="s">
        <v>43</v>
      </c>
      <c r="U1802" s="5"/>
      <c r="V1802" s="5" t="s">
        <v>7467</v>
      </c>
      <c r="W1802" s="5" t="s">
        <v>46</v>
      </c>
      <c r="X1802" s="5"/>
      <c r="Y1802" s="5"/>
      <c r="Z1802" s="5" t="str">
        <f>HYPERLINK("https://knigipp.ru/api/getInfo/image/d95a5282-1f4b-11ef-a25f-00155d82e908")</f>
        <v>https://knigipp.ru/api/getInfo/image/d95a5282-1f4b-11ef-a25f-00155d82e908</v>
      </c>
      <c r="AA1802" s="33">
        <v>16</v>
      </c>
      <c r="AB1802" s="5" t="s">
        <v>47</v>
      </c>
      <c r="AC1802" s="5" t="s">
        <v>96</v>
      </c>
      <c r="AD1802" s="5"/>
      <c r="AE1802" s="5" t="s">
        <v>49</v>
      </c>
      <c r="AF1802" s="5"/>
      <c r="AG1802" s="5"/>
      <c r="AH1802" s="5" t="s">
        <v>7452</v>
      </c>
    </row>
    <row r="1803" spans="2:34" ht="22.95" customHeight="1" outlineLevel="3" x14ac:dyDescent="0.2">
      <c r="B1803" s="74" t="s">
        <v>7468</v>
      </c>
      <c r="C1803" s="74"/>
      <c r="D1803" s="74"/>
    </row>
    <row r="1804" spans="2:34" ht="21" customHeight="1" outlineLevel="4" x14ac:dyDescent="0.2">
      <c r="B1804" s="42">
        <v>1400</v>
      </c>
      <c r="C1804" s="5" t="s">
        <v>7469</v>
      </c>
      <c r="D1804" s="5" t="s">
        <v>7470</v>
      </c>
      <c r="E1804" s="6" t="s">
        <v>7471</v>
      </c>
      <c r="F1804" s="10"/>
      <c r="G1804" s="11" t="s">
        <v>7472</v>
      </c>
      <c r="H1804" s="12">
        <v>20</v>
      </c>
      <c r="I1804" s="13" t="s">
        <v>41</v>
      </c>
      <c r="J1804" s="13"/>
      <c r="K1804" s="13"/>
      <c r="L1804" s="4">
        <v>2</v>
      </c>
      <c r="M1804" s="14">
        <f>297*(1-P3/100)</f>
        <v>297</v>
      </c>
      <c r="N1804" s="15"/>
      <c r="O1804" s="13">
        <f>M1804*N1804</f>
        <v>0</v>
      </c>
      <c r="P1804" s="22">
        <f>0.086*N1804</f>
        <v>0</v>
      </c>
      <c r="Q1804" s="23">
        <f>0.00098*N1804</f>
        <v>0</v>
      </c>
      <c r="R1804" s="24"/>
      <c r="S1804" s="25" t="s">
        <v>7473</v>
      </c>
      <c r="T1804" s="25" t="s">
        <v>43</v>
      </c>
      <c r="U1804" s="5"/>
      <c r="V1804" s="5"/>
      <c r="W1804" s="5" t="s">
        <v>46</v>
      </c>
      <c r="X1804" s="5"/>
      <c r="Y1804" s="5"/>
      <c r="Z1804" s="5" t="str">
        <f>HYPERLINK("https://knigipp.ru/api/getInfo/image/1466a9c8-efe8-11ee-a25b-00155d82e908")</f>
        <v>https://knigipp.ru/api/getInfo/image/1466a9c8-efe8-11ee-a25b-00155d82e908</v>
      </c>
      <c r="AA1804" s="33">
        <v>16</v>
      </c>
      <c r="AB1804" s="5" t="s">
        <v>47</v>
      </c>
      <c r="AC1804" s="5" t="s">
        <v>96</v>
      </c>
      <c r="AD1804" s="5"/>
      <c r="AE1804" s="5" t="s">
        <v>49</v>
      </c>
      <c r="AF1804" s="5"/>
      <c r="AG1804" s="5"/>
      <c r="AH1804" s="5" t="s">
        <v>7474</v>
      </c>
    </row>
    <row r="1805" spans="2:34" ht="21" customHeight="1" outlineLevel="4" x14ac:dyDescent="0.2">
      <c r="B1805" s="42">
        <v>1401</v>
      </c>
      <c r="C1805" s="5" t="s">
        <v>7475</v>
      </c>
      <c r="D1805" s="5" t="s">
        <v>7476</v>
      </c>
      <c r="E1805" s="6" t="s">
        <v>7477</v>
      </c>
      <c r="F1805" s="10"/>
      <c r="G1805" s="11" t="s">
        <v>7472</v>
      </c>
      <c r="H1805" s="12">
        <v>20</v>
      </c>
      <c r="I1805" s="13" t="s">
        <v>41</v>
      </c>
      <c r="J1805" s="13"/>
      <c r="K1805" s="13"/>
      <c r="L1805" s="4">
        <v>2</v>
      </c>
      <c r="M1805" s="14">
        <f>297*(1-P3/100)</f>
        <v>297</v>
      </c>
      <c r="N1805" s="15"/>
      <c r="O1805" s="13">
        <f>M1805*N1805</f>
        <v>0</v>
      </c>
      <c r="P1805" s="22">
        <f>0.087*N1805</f>
        <v>0</v>
      </c>
      <c r="Q1805" s="23">
        <f>0.00163*N1805</f>
        <v>0</v>
      </c>
      <c r="R1805" s="24"/>
      <c r="S1805" s="25" t="s">
        <v>7478</v>
      </c>
      <c r="T1805" s="25" t="s">
        <v>43</v>
      </c>
      <c r="U1805" s="5"/>
      <c r="V1805" s="5"/>
      <c r="W1805" s="5" t="s">
        <v>46</v>
      </c>
      <c r="X1805" s="5"/>
      <c r="Y1805" s="5"/>
      <c r="Z1805" s="5" t="str">
        <f>HYPERLINK("https://knigipp.ru/api/getInfo/image/e61acccd-efe7-11ee-a25b-00155d82e908")</f>
        <v>https://knigipp.ru/api/getInfo/image/e61acccd-efe7-11ee-a25b-00155d82e908</v>
      </c>
      <c r="AA1805" s="33">
        <v>16</v>
      </c>
      <c r="AB1805" s="5" t="s">
        <v>47</v>
      </c>
      <c r="AC1805" s="5" t="s">
        <v>96</v>
      </c>
      <c r="AD1805" s="5"/>
      <c r="AE1805" s="5" t="s">
        <v>49</v>
      </c>
      <c r="AF1805" s="5"/>
      <c r="AG1805" s="5"/>
      <c r="AH1805" s="5" t="s">
        <v>7474</v>
      </c>
    </row>
    <row r="1806" spans="2:34" ht="21" customHeight="1" outlineLevel="4" x14ac:dyDescent="0.2">
      <c r="B1806" s="42">
        <v>1402</v>
      </c>
      <c r="C1806" s="5" t="s">
        <v>7479</v>
      </c>
      <c r="D1806" s="5" t="s">
        <v>7480</v>
      </c>
      <c r="E1806" s="6" t="s">
        <v>7481</v>
      </c>
      <c r="F1806" s="10"/>
      <c r="G1806" s="11" t="s">
        <v>7472</v>
      </c>
      <c r="H1806" s="12">
        <v>20</v>
      </c>
      <c r="I1806" s="13" t="s">
        <v>41</v>
      </c>
      <c r="J1806" s="13"/>
      <c r="K1806" s="13"/>
      <c r="L1806" s="4">
        <v>2</v>
      </c>
      <c r="M1806" s="14">
        <f>297*(1-P3/100)</f>
        <v>297</v>
      </c>
      <c r="N1806" s="15"/>
      <c r="O1806" s="13">
        <f>M1806*N1806</f>
        <v>0</v>
      </c>
      <c r="P1806" s="22">
        <f>0.077*N1806</f>
        <v>0</v>
      </c>
      <c r="Q1806" s="23">
        <f>0.00121*N1806</f>
        <v>0</v>
      </c>
      <c r="R1806" s="24"/>
      <c r="S1806" s="25" t="s">
        <v>7482</v>
      </c>
      <c r="T1806" s="25" t="s">
        <v>43</v>
      </c>
      <c r="U1806" s="5"/>
      <c r="V1806" s="5"/>
      <c r="W1806" s="5" t="s">
        <v>46</v>
      </c>
      <c r="X1806" s="5"/>
      <c r="Y1806" s="5"/>
      <c r="Z1806" s="5" t="str">
        <f>HYPERLINK("https://knigipp.ru/api/getInfo/image/4022dfd1-efe8-11ee-a25b-00155d82e908")</f>
        <v>https://knigipp.ru/api/getInfo/image/4022dfd1-efe8-11ee-a25b-00155d82e908</v>
      </c>
      <c r="AA1806" s="33">
        <v>16</v>
      </c>
      <c r="AB1806" s="5" t="s">
        <v>47</v>
      </c>
      <c r="AC1806" s="5" t="s">
        <v>96</v>
      </c>
      <c r="AD1806" s="5"/>
      <c r="AE1806" s="5" t="s">
        <v>49</v>
      </c>
      <c r="AF1806" s="5"/>
      <c r="AG1806" s="5"/>
      <c r="AH1806" s="5" t="s">
        <v>7474</v>
      </c>
    </row>
    <row r="1807" spans="2:34" ht="21" customHeight="1" outlineLevel="4" x14ac:dyDescent="0.2">
      <c r="B1807" s="42">
        <v>1403</v>
      </c>
      <c r="C1807" s="5" t="s">
        <v>7483</v>
      </c>
      <c r="D1807" s="5" t="s">
        <v>7484</v>
      </c>
      <c r="E1807" s="6" t="s">
        <v>7485</v>
      </c>
      <c r="F1807" s="10"/>
      <c r="G1807" s="11" t="s">
        <v>7472</v>
      </c>
      <c r="H1807" s="12">
        <v>20</v>
      </c>
      <c r="I1807" s="13" t="s">
        <v>41</v>
      </c>
      <c r="J1807" s="13"/>
      <c r="K1807" s="13"/>
      <c r="L1807" s="4">
        <v>2</v>
      </c>
      <c r="M1807" s="14">
        <f>297*(1-P3/100)</f>
        <v>297</v>
      </c>
      <c r="N1807" s="15"/>
      <c r="O1807" s="13">
        <f>M1807*N1807</f>
        <v>0</v>
      </c>
      <c r="P1807" s="22">
        <f>0.084*N1807</f>
        <v>0</v>
      </c>
      <c r="Q1807" s="23">
        <f>0.00172*N1807</f>
        <v>0</v>
      </c>
      <c r="R1807" s="24"/>
      <c r="S1807" s="25" t="s">
        <v>7486</v>
      </c>
      <c r="T1807" s="25" t="s">
        <v>43</v>
      </c>
      <c r="U1807" s="5"/>
      <c r="V1807" s="5"/>
      <c r="W1807" s="5" t="s">
        <v>46</v>
      </c>
      <c r="X1807" s="5"/>
      <c r="Y1807" s="5"/>
      <c r="Z1807" s="5" t="str">
        <f>HYPERLINK("https://knigipp.ru/api/getInfo/image/983c7ec6-efe7-11ee-a25b-00155d82e908")</f>
        <v>https://knigipp.ru/api/getInfo/image/983c7ec6-efe7-11ee-a25b-00155d82e908</v>
      </c>
      <c r="AA1807" s="33">
        <v>16</v>
      </c>
      <c r="AB1807" s="5" t="s">
        <v>47</v>
      </c>
      <c r="AC1807" s="5" t="s">
        <v>96</v>
      </c>
      <c r="AD1807" s="5"/>
      <c r="AE1807" s="5" t="s">
        <v>49</v>
      </c>
      <c r="AF1807" s="5"/>
      <c r="AG1807" s="5"/>
      <c r="AH1807" s="5" t="s">
        <v>7474</v>
      </c>
    </row>
    <row r="1808" spans="2:34" ht="22.95" customHeight="1" outlineLevel="3" x14ac:dyDescent="0.2">
      <c r="B1808" s="74" t="s">
        <v>7487</v>
      </c>
      <c r="C1808" s="74"/>
      <c r="D1808" s="74"/>
    </row>
    <row r="1809" spans="2:34" ht="21" customHeight="1" outlineLevel="4" x14ac:dyDescent="0.2">
      <c r="B1809" s="42">
        <v>1404</v>
      </c>
      <c r="C1809" s="5" t="s">
        <v>7488</v>
      </c>
      <c r="D1809" s="5" t="s">
        <v>7489</v>
      </c>
      <c r="E1809" s="6" t="s">
        <v>7490</v>
      </c>
      <c r="F1809" s="10"/>
      <c r="G1809" s="11" t="s">
        <v>7491</v>
      </c>
      <c r="H1809" s="12">
        <v>30</v>
      </c>
      <c r="I1809" s="13" t="s">
        <v>41</v>
      </c>
      <c r="J1809" s="13"/>
      <c r="K1809" s="13"/>
      <c r="L1809" s="4">
        <v>2</v>
      </c>
      <c r="M1809" s="14">
        <f>297*(1-P3/100)</f>
        <v>297</v>
      </c>
      <c r="N1809" s="15"/>
      <c r="O1809" s="13">
        <f>M1809*N1809</f>
        <v>0</v>
      </c>
      <c r="P1809" s="22">
        <f>0.099*N1809</f>
        <v>0</v>
      </c>
      <c r="Q1809" s="23">
        <f>0.00092*N1809</f>
        <v>0</v>
      </c>
      <c r="R1809" s="24"/>
      <c r="S1809" s="25" t="s">
        <v>7492</v>
      </c>
      <c r="T1809" s="25" t="s">
        <v>43</v>
      </c>
      <c r="U1809" s="5"/>
      <c r="V1809" s="5"/>
      <c r="W1809" s="5" t="s">
        <v>46</v>
      </c>
      <c r="X1809" s="5"/>
      <c r="Y1809" s="5"/>
      <c r="Z1809" s="5" t="str">
        <f>HYPERLINK("https://knigipp.ru/api/getInfo/image/8a13f8cb-d6d2-11ee-a25a-00155d82e908")</f>
        <v>https://knigipp.ru/api/getInfo/image/8a13f8cb-d6d2-11ee-a25a-00155d82e908</v>
      </c>
      <c r="AA1809" s="33">
        <v>16</v>
      </c>
      <c r="AB1809" s="5" t="s">
        <v>47</v>
      </c>
      <c r="AC1809" s="5" t="s">
        <v>96</v>
      </c>
      <c r="AD1809" s="5"/>
      <c r="AE1809" s="5" t="s">
        <v>49</v>
      </c>
      <c r="AF1809" s="5"/>
      <c r="AG1809" s="5"/>
      <c r="AH1809" s="5" t="s">
        <v>7493</v>
      </c>
    </row>
    <row r="1810" spans="2:34" ht="21" customHeight="1" outlineLevel="4" x14ac:dyDescent="0.2">
      <c r="B1810" s="42">
        <v>1405</v>
      </c>
      <c r="C1810" s="5" t="s">
        <v>7494</v>
      </c>
      <c r="D1810" s="5" t="s">
        <v>7495</v>
      </c>
      <c r="E1810" s="6" t="s">
        <v>7496</v>
      </c>
      <c r="F1810" s="10"/>
      <c r="G1810" s="11" t="s">
        <v>7491</v>
      </c>
      <c r="H1810" s="12">
        <v>30</v>
      </c>
      <c r="I1810" s="13" t="s">
        <v>41</v>
      </c>
      <c r="J1810" s="13"/>
      <c r="K1810" s="13"/>
      <c r="L1810" s="4">
        <v>2</v>
      </c>
      <c r="M1810" s="14">
        <f>297*(1-P3/100)</f>
        <v>297</v>
      </c>
      <c r="N1810" s="15"/>
      <c r="O1810" s="13">
        <f>M1810*N1810</f>
        <v>0</v>
      </c>
      <c r="P1810" s="22">
        <f>0.105*N1810</f>
        <v>0</v>
      </c>
      <c r="Q1810" s="23">
        <f>0.00015*N1810</f>
        <v>0</v>
      </c>
      <c r="R1810" s="24"/>
      <c r="S1810" s="25" t="s">
        <v>7497</v>
      </c>
      <c r="T1810" s="25" t="s">
        <v>43</v>
      </c>
      <c r="U1810" s="5"/>
      <c r="V1810" s="5"/>
      <c r="W1810" s="5" t="s">
        <v>46</v>
      </c>
      <c r="X1810" s="5"/>
      <c r="Y1810" s="5"/>
      <c r="Z1810" s="5" t="str">
        <f>HYPERLINK("https://knigipp.ru/api/getInfo/image/1a2dcc71-d6d2-11ee-a25a-00155d82e908")</f>
        <v>https://knigipp.ru/api/getInfo/image/1a2dcc71-d6d2-11ee-a25a-00155d82e908</v>
      </c>
      <c r="AA1810" s="33">
        <v>16</v>
      </c>
      <c r="AB1810" s="5" t="s">
        <v>47</v>
      </c>
      <c r="AC1810" s="5" t="s">
        <v>96</v>
      </c>
      <c r="AD1810" s="5"/>
      <c r="AE1810" s="5" t="s">
        <v>49</v>
      </c>
      <c r="AF1810" s="5"/>
      <c r="AG1810" s="5"/>
      <c r="AH1810" s="5" t="s">
        <v>7493</v>
      </c>
    </row>
    <row r="1811" spans="2:34" ht="21" customHeight="1" outlineLevel="4" x14ac:dyDescent="0.2">
      <c r="B1811" s="42">
        <v>1406</v>
      </c>
      <c r="C1811" s="5" t="s">
        <v>7498</v>
      </c>
      <c r="D1811" s="5" t="s">
        <v>7499</v>
      </c>
      <c r="E1811" s="6" t="s">
        <v>7500</v>
      </c>
      <c r="F1811" s="10"/>
      <c r="G1811" s="11" t="s">
        <v>7491</v>
      </c>
      <c r="H1811" s="12">
        <v>30</v>
      </c>
      <c r="I1811" s="13" t="s">
        <v>41</v>
      </c>
      <c r="J1811" s="13"/>
      <c r="K1811" s="13"/>
      <c r="L1811" s="4">
        <v>2</v>
      </c>
      <c r="M1811" s="14">
        <f>297*(1-P3/100)</f>
        <v>297</v>
      </c>
      <c r="N1811" s="15"/>
      <c r="O1811" s="13">
        <f>M1811*N1811</f>
        <v>0</v>
      </c>
      <c r="P1811" s="22">
        <f>0.105*N1811</f>
        <v>0</v>
      </c>
      <c r="Q1811" s="23">
        <f>0.00052*N1811</f>
        <v>0</v>
      </c>
      <c r="R1811" s="24"/>
      <c r="S1811" s="25" t="s">
        <v>7501</v>
      </c>
      <c r="T1811" s="25" t="s">
        <v>43</v>
      </c>
      <c r="U1811" s="5"/>
      <c r="V1811" s="5"/>
      <c r="W1811" s="5" t="s">
        <v>46</v>
      </c>
      <c r="X1811" s="5"/>
      <c r="Y1811" s="5"/>
      <c r="Z1811" s="5" t="str">
        <f>HYPERLINK("https://knigipp.ru/api/getInfo/image/46d14641-d6d2-11ee-a25a-00155d82e908")</f>
        <v>https://knigipp.ru/api/getInfo/image/46d14641-d6d2-11ee-a25a-00155d82e908</v>
      </c>
      <c r="AA1811" s="33">
        <v>16</v>
      </c>
      <c r="AB1811" s="5" t="s">
        <v>47</v>
      </c>
      <c r="AC1811" s="5" t="s">
        <v>96</v>
      </c>
      <c r="AD1811" s="5"/>
      <c r="AE1811" s="5" t="s">
        <v>49</v>
      </c>
      <c r="AF1811" s="5"/>
      <c r="AG1811" s="5"/>
      <c r="AH1811" s="5" t="s">
        <v>7493</v>
      </c>
    </row>
    <row r="1812" spans="2:34" ht="21" customHeight="1" outlineLevel="4" x14ac:dyDescent="0.2">
      <c r="B1812" s="42">
        <v>1407</v>
      </c>
      <c r="C1812" s="5" t="s">
        <v>7502</v>
      </c>
      <c r="D1812" s="5" t="s">
        <v>7503</v>
      </c>
      <c r="E1812" s="6" t="s">
        <v>7504</v>
      </c>
      <c r="F1812" s="10"/>
      <c r="G1812" s="11" t="s">
        <v>7491</v>
      </c>
      <c r="H1812" s="12">
        <v>30</v>
      </c>
      <c r="I1812" s="13" t="s">
        <v>41</v>
      </c>
      <c r="J1812" s="13"/>
      <c r="K1812" s="13"/>
      <c r="L1812" s="4">
        <v>2</v>
      </c>
      <c r="M1812" s="14">
        <f>297*(1-P3/100)</f>
        <v>297</v>
      </c>
      <c r="N1812" s="15"/>
      <c r="O1812" s="13">
        <f>M1812*N1812</f>
        <v>0</v>
      </c>
      <c r="P1812" s="22">
        <f>0.102*N1812</f>
        <v>0</v>
      </c>
      <c r="Q1812" s="23">
        <f>0.00127*N1812</f>
        <v>0</v>
      </c>
      <c r="R1812" s="24"/>
      <c r="S1812" s="25" t="s">
        <v>7505</v>
      </c>
      <c r="T1812" s="25" t="s">
        <v>43</v>
      </c>
      <c r="U1812" s="5"/>
      <c r="V1812" s="5"/>
      <c r="W1812" s="5" t="s">
        <v>46</v>
      </c>
      <c r="X1812" s="5"/>
      <c r="Y1812" s="5"/>
      <c r="Z1812" s="5" t="str">
        <f>HYPERLINK("https://knigipp.ru/api/getInfo/image/661044ac-d6d2-11ee-a25a-00155d82e908")</f>
        <v>https://knigipp.ru/api/getInfo/image/661044ac-d6d2-11ee-a25a-00155d82e908</v>
      </c>
      <c r="AA1812" s="33">
        <v>16</v>
      </c>
      <c r="AB1812" s="5" t="s">
        <v>47</v>
      </c>
      <c r="AC1812" s="5" t="s">
        <v>96</v>
      </c>
      <c r="AD1812" s="5"/>
      <c r="AE1812" s="5" t="s">
        <v>49</v>
      </c>
      <c r="AF1812" s="5"/>
      <c r="AG1812" s="5"/>
      <c r="AH1812" s="5" t="s">
        <v>7493</v>
      </c>
    </row>
    <row r="1813" spans="2:34" ht="22.95" customHeight="1" outlineLevel="3" x14ac:dyDescent="0.2">
      <c r="B1813" s="74" t="s">
        <v>7506</v>
      </c>
      <c r="C1813" s="74"/>
      <c r="D1813" s="74"/>
    </row>
    <row r="1814" spans="2:34" ht="21" customHeight="1" outlineLevel="4" x14ac:dyDescent="0.2">
      <c r="B1814" s="42">
        <v>1408</v>
      </c>
      <c r="C1814" s="5" t="s">
        <v>7507</v>
      </c>
      <c r="D1814" s="5" t="s">
        <v>7508</v>
      </c>
      <c r="E1814" s="6" t="s">
        <v>7509</v>
      </c>
      <c r="F1814" s="10"/>
      <c r="G1814" s="11" t="s">
        <v>7510</v>
      </c>
      <c r="H1814" s="12">
        <v>50</v>
      </c>
      <c r="I1814" s="13" t="s">
        <v>41</v>
      </c>
      <c r="J1814" s="13"/>
      <c r="K1814" s="13"/>
      <c r="L1814" s="4">
        <v>5</v>
      </c>
      <c r="M1814" s="14">
        <f>117*(1-P3/100)</f>
        <v>117</v>
      </c>
      <c r="N1814" s="15"/>
      <c r="O1814" s="13">
        <f>M1814*N1814</f>
        <v>0</v>
      </c>
      <c r="P1814" s="13">
        <v>0</v>
      </c>
      <c r="Q1814" s="13">
        <v>0</v>
      </c>
      <c r="R1814" s="24"/>
      <c r="S1814" s="25" t="s">
        <v>7511</v>
      </c>
      <c r="T1814" s="25" t="s">
        <v>43</v>
      </c>
      <c r="U1814" s="5"/>
      <c r="V1814" s="5" t="s">
        <v>7512</v>
      </c>
      <c r="W1814" s="5" t="s">
        <v>46</v>
      </c>
      <c r="X1814" s="5"/>
      <c r="Y1814" s="5"/>
      <c r="Z1814" s="5" t="str">
        <f>HYPERLINK("https://knigipp.ru/api/getInfo/image/384eeafc-beab-11ee-a25a-00155d82e908")</f>
        <v>https://knigipp.ru/api/getInfo/image/384eeafc-beab-11ee-a25a-00155d82e908</v>
      </c>
      <c r="AA1814" s="33">
        <v>16</v>
      </c>
      <c r="AB1814" s="5" t="s">
        <v>47</v>
      </c>
      <c r="AC1814" s="5" t="s">
        <v>96</v>
      </c>
      <c r="AD1814" s="5"/>
      <c r="AE1814" s="5" t="s">
        <v>49</v>
      </c>
      <c r="AF1814" s="5"/>
      <c r="AG1814" s="5"/>
      <c r="AH1814" s="5" t="s">
        <v>238</v>
      </c>
    </row>
    <row r="1815" spans="2:34" ht="21" customHeight="1" outlineLevel="4" x14ac:dyDescent="0.2">
      <c r="B1815" s="42">
        <v>1409</v>
      </c>
      <c r="C1815" s="5" t="s">
        <v>7513</v>
      </c>
      <c r="D1815" s="5" t="s">
        <v>7514</v>
      </c>
      <c r="E1815" s="6" t="s">
        <v>7515</v>
      </c>
      <c r="F1815" s="10"/>
      <c r="G1815" s="11" t="s">
        <v>7510</v>
      </c>
      <c r="H1815" s="12">
        <v>50</v>
      </c>
      <c r="I1815" s="13" t="s">
        <v>41</v>
      </c>
      <c r="J1815" s="13"/>
      <c r="K1815" s="13"/>
      <c r="L1815" s="4">
        <v>5</v>
      </c>
      <c r="M1815" s="14">
        <f>117*(1-P3/100)</f>
        <v>117</v>
      </c>
      <c r="N1815" s="15"/>
      <c r="O1815" s="13">
        <f>M1815*N1815</f>
        <v>0</v>
      </c>
      <c r="P1815" s="22">
        <f>0.064*N1815</f>
        <v>0</v>
      </c>
      <c r="Q1815" s="23">
        <f>0.00023*N1815</f>
        <v>0</v>
      </c>
      <c r="R1815" s="24"/>
      <c r="S1815" s="25" t="s">
        <v>7516</v>
      </c>
      <c r="T1815" s="25" t="s">
        <v>43</v>
      </c>
      <c r="U1815" s="5"/>
      <c r="V1815" s="5" t="s">
        <v>7517</v>
      </c>
      <c r="W1815" s="5" t="s">
        <v>46</v>
      </c>
      <c r="X1815" s="5"/>
      <c r="Y1815" s="5"/>
      <c r="Z1815" s="5" t="str">
        <f>HYPERLINK("https://knigipp.ru/api/getInfo/image/e4e37e39-beaa-11ee-a25a-00155d82e908")</f>
        <v>https://knigipp.ru/api/getInfo/image/e4e37e39-beaa-11ee-a25a-00155d82e908</v>
      </c>
      <c r="AA1815" s="33">
        <v>16</v>
      </c>
      <c r="AB1815" s="5" t="s">
        <v>47</v>
      </c>
      <c r="AC1815" s="5" t="s">
        <v>96</v>
      </c>
      <c r="AD1815" s="5"/>
      <c r="AE1815" s="5" t="s">
        <v>49</v>
      </c>
      <c r="AF1815" s="5"/>
      <c r="AG1815" s="5"/>
      <c r="AH1815" s="5" t="s">
        <v>238</v>
      </c>
    </row>
    <row r="1816" spans="2:34" ht="21" customHeight="1" outlineLevel="4" x14ac:dyDescent="0.2">
      <c r="B1816" s="42">
        <v>1410</v>
      </c>
      <c r="C1816" s="5" t="s">
        <v>7518</v>
      </c>
      <c r="D1816" s="5" t="s">
        <v>7519</v>
      </c>
      <c r="E1816" s="6" t="s">
        <v>7520</v>
      </c>
      <c r="F1816" s="10"/>
      <c r="G1816" s="11" t="s">
        <v>7510</v>
      </c>
      <c r="H1816" s="12">
        <v>50</v>
      </c>
      <c r="I1816" s="13" t="s">
        <v>41</v>
      </c>
      <c r="J1816" s="13"/>
      <c r="K1816" s="13"/>
      <c r="L1816" s="4">
        <v>5</v>
      </c>
      <c r="M1816" s="14">
        <f>117*(1-P3/100)</f>
        <v>117</v>
      </c>
      <c r="N1816" s="15"/>
      <c r="O1816" s="13">
        <f>M1816*N1816</f>
        <v>0</v>
      </c>
      <c r="P1816" s="13">
        <v>0</v>
      </c>
      <c r="Q1816" s="13">
        <v>0</v>
      </c>
      <c r="R1816" s="24"/>
      <c r="S1816" s="25" t="s">
        <v>7521</v>
      </c>
      <c r="T1816" s="25" t="s">
        <v>43</v>
      </c>
      <c r="U1816" s="5"/>
      <c r="V1816" s="5" t="s">
        <v>7522</v>
      </c>
      <c r="W1816" s="5" t="s">
        <v>46</v>
      </c>
      <c r="X1816" s="5"/>
      <c r="Y1816" s="5"/>
      <c r="Z1816" s="5" t="str">
        <f>HYPERLINK("https://knigipp.ru/api/getInfo/image/632fd9d7-beab-11ee-a25a-00155d82e908")</f>
        <v>https://knigipp.ru/api/getInfo/image/632fd9d7-beab-11ee-a25a-00155d82e908</v>
      </c>
      <c r="AA1816" s="33">
        <v>16</v>
      </c>
      <c r="AB1816" s="5" t="s">
        <v>47</v>
      </c>
      <c r="AC1816" s="5" t="s">
        <v>96</v>
      </c>
      <c r="AD1816" s="5"/>
      <c r="AE1816" s="5" t="s">
        <v>49</v>
      </c>
      <c r="AF1816" s="5"/>
      <c r="AG1816" s="5"/>
      <c r="AH1816" s="5" t="s">
        <v>238</v>
      </c>
    </row>
    <row r="1817" spans="2:34" ht="21" customHeight="1" outlineLevel="4" x14ac:dyDescent="0.2">
      <c r="B1817" s="42">
        <v>1411</v>
      </c>
      <c r="C1817" s="5" t="s">
        <v>7523</v>
      </c>
      <c r="D1817" s="5" t="s">
        <v>7524</v>
      </c>
      <c r="E1817" s="6" t="s">
        <v>7525</v>
      </c>
      <c r="F1817" s="10"/>
      <c r="G1817" s="11" t="s">
        <v>7510</v>
      </c>
      <c r="H1817" s="12">
        <v>50</v>
      </c>
      <c r="I1817" s="13" t="s">
        <v>41</v>
      </c>
      <c r="J1817" s="13"/>
      <c r="K1817" s="13"/>
      <c r="L1817" s="4">
        <v>5</v>
      </c>
      <c r="M1817" s="14">
        <f>117*(1-P3/100)</f>
        <v>117</v>
      </c>
      <c r="N1817" s="15"/>
      <c r="O1817" s="13">
        <f>M1817*N1817</f>
        <v>0</v>
      </c>
      <c r="P1817" s="13">
        <v>0</v>
      </c>
      <c r="Q1817" s="13">
        <v>0</v>
      </c>
      <c r="R1817" s="24"/>
      <c r="S1817" s="25" t="s">
        <v>7526</v>
      </c>
      <c r="T1817" s="25" t="s">
        <v>43</v>
      </c>
      <c r="U1817" s="5"/>
      <c r="V1817" s="5" t="s">
        <v>7527</v>
      </c>
      <c r="W1817" s="5" t="s">
        <v>46</v>
      </c>
      <c r="X1817" s="5"/>
      <c r="Y1817" s="5"/>
      <c r="Z1817" s="5" t="str">
        <f>HYPERLINK("https://knigipp.ru/api/getInfo/image/10099140-beab-11ee-a25a-00155d82e908")</f>
        <v>https://knigipp.ru/api/getInfo/image/10099140-beab-11ee-a25a-00155d82e908</v>
      </c>
      <c r="AA1817" s="33">
        <v>16</v>
      </c>
      <c r="AB1817" s="5" t="s">
        <v>47</v>
      </c>
      <c r="AC1817" s="5" t="s">
        <v>96</v>
      </c>
      <c r="AD1817" s="5"/>
      <c r="AE1817" s="5" t="s">
        <v>49</v>
      </c>
      <c r="AF1817" s="5"/>
      <c r="AG1817" s="5"/>
      <c r="AH1817" s="5" t="s">
        <v>238</v>
      </c>
    </row>
    <row r="1818" spans="2:34" ht="22.95" customHeight="1" outlineLevel="3" x14ac:dyDescent="0.2">
      <c r="B1818" s="74" t="s">
        <v>7528</v>
      </c>
      <c r="C1818" s="74"/>
      <c r="D1818" s="74"/>
    </row>
    <row r="1819" spans="2:34" ht="21" customHeight="1" outlineLevel="4" x14ac:dyDescent="0.2">
      <c r="B1819" s="42">
        <v>1412</v>
      </c>
      <c r="C1819" s="5" t="s">
        <v>7529</v>
      </c>
      <c r="D1819" s="5" t="s">
        <v>7530</v>
      </c>
      <c r="E1819" s="6" t="s">
        <v>7531</v>
      </c>
      <c r="F1819" s="10"/>
      <c r="G1819" s="11" t="s">
        <v>7532</v>
      </c>
      <c r="H1819" s="12">
        <v>50</v>
      </c>
      <c r="I1819" s="13" t="s">
        <v>371</v>
      </c>
      <c r="J1819" s="13"/>
      <c r="K1819" s="13"/>
      <c r="L1819" s="4">
        <v>10</v>
      </c>
      <c r="M1819" s="14">
        <f>57*(1-P3/100)</f>
        <v>57</v>
      </c>
      <c r="N1819" s="15"/>
      <c r="O1819" s="13">
        <f t="shared" ref="O1819:O1826" si="78">M1819*N1819</f>
        <v>0</v>
      </c>
      <c r="P1819" s="22">
        <f>0.068*N1819</f>
        <v>0</v>
      </c>
      <c r="Q1819" s="23">
        <f>0.00028*N1819</f>
        <v>0</v>
      </c>
      <c r="R1819" s="24"/>
      <c r="S1819" s="25" t="s">
        <v>7533</v>
      </c>
      <c r="T1819" s="25" t="s">
        <v>43</v>
      </c>
      <c r="U1819" s="5"/>
      <c r="V1819" s="5"/>
      <c r="W1819" s="5" t="s">
        <v>46</v>
      </c>
      <c r="X1819" s="5"/>
      <c r="Y1819" s="5"/>
      <c r="Z1819" s="5" t="str">
        <f>HYPERLINK("https://knigipp.ru/api/getInfo/image/2879ad28-1aba-11eb-a25d-ac1f6b442184")</f>
        <v>https://knigipp.ru/api/getInfo/image/2879ad28-1aba-11eb-a25d-ac1f6b442184</v>
      </c>
      <c r="AA1819" s="33">
        <v>16</v>
      </c>
      <c r="AB1819" s="5"/>
      <c r="AC1819" s="5" t="s">
        <v>96</v>
      </c>
      <c r="AD1819" s="5"/>
      <c r="AE1819" s="5" t="s">
        <v>49</v>
      </c>
      <c r="AF1819" s="5"/>
      <c r="AG1819" s="5"/>
      <c r="AH1819" s="5" t="s">
        <v>238</v>
      </c>
    </row>
    <row r="1820" spans="2:34" ht="21" customHeight="1" outlineLevel="4" x14ac:dyDescent="0.2">
      <c r="B1820" s="42">
        <v>1413</v>
      </c>
      <c r="C1820" s="5" t="s">
        <v>7534</v>
      </c>
      <c r="D1820" s="5" t="s">
        <v>7535</v>
      </c>
      <c r="E1820" s="6" t="s">
        <v>7536</v>
      </c>
      <c r="F1820" s="10"/>
      <c r="G1820" s="11" t="s">
        <v>7532</v>
      </c>
      <c r="H1820" s="12">
        <v>50</v>
      </c>
      <c r="I1820" s="13" t="s">
        <v>41</v>
      </c>
      <c r="J1820" s="13"/>
      <c r="K1820" s="13"/>
      <c r="L1820" s="4">
        <v>10</v>
      </c>
      <c r="M1820" s="14">
        <f>57*(1-P3/100)</f>
        <v>57</v>
      </c>
      <c r="N1820" s="15"/>
      <c r="O1820" s="13">
        <f t="shared" si="78"/>
        <v>0</v>
      </c>
      <c r="P1820" s="22">
        <f>0.068*N1820</f>
        <v>0</v>
      </c>
      <c r="Q1820" s="23">
        <f>0.00011*N1820</f>
        <v>0</v>
      </c>
      <c r="R1820" s="24"/>
      <c r="S1820" s="25" t="s">
        <v>7537</v>
      </c>
      <c r="T1820" s="25" t="s">
        <v>43</v>
      </c>
      <c r="U1820" s="5"/>
      <c r="V1820" s="5"/>
      <c r="W1820" s="5" t="s">
        <v>46</v>
      </c>
      <c r="X1820" s="5"/>
      <c r="Y1820" s="5"/>
      <c r="Z1820" s="5" t="str">
        <f>HYPERLINK("https://knigipp.ru/api/getInfo/image/fd867978-9c1d-11ea-a248-ac1f6b442184")</f>
        <v>https://knigipp.ru/api/getInfo/image/fd867978-9c1d-11ea-a248-ac1f6b442184</v>
      </c>
      <c r="AA1820" s="33">
        <v>16</v>
      </c>
      <c r="AB1820" s="5"/>
      <c r="AC1820" s="5" t="s">
        <v>96</v>
      </c>
      <c r="AD1820" s="5"/>
      <c r="AE1820" s="5" t="s">
        <v>49</v>
      </c>
      <c r="AF1820" s="5"/>
      <c r="AG1820" s="5"/>
      <c r="AH1820" s="5" t="s">
        <v>238</v>
      </c>
    </row>
    <row r="1821" spans="2:34" ht="21" customHeight="1" outlineLevel="4" x14ac:dyDescent="0.2">
      <c r="B1821" s="42">
        <v>1414</v>
      </c>
      <c r="C1821" s="5" t="s">
        <v>7538</v>
      </c>
      <c r="D1821" s="5" t="s">
        <v>7539</v>
      </c>
      <c r="E1821" s="6" t="s">
        <v>7540</v>
      </c>
      <c r="F1821" s="10"/>
      <c r="G1821" s="11" t="s">
        <v>7532</v>
      </c>
      <c r="H1821" s="12">
        <v>50</v>
      </c>
      <c r="I1821" s="13" t="s">
        <v>41</v>
      </c>
      <c r="J1821" s="13"/>
      <c r="K1821" s="13"/>
      <c r="L1821" s="4">
        <v>10</v>
      </c>
      <c r="M1821" s="14">
        <f>57*(1-P3/100)</f>
        <v>57</v>
      </c>
      <c r="N1821" s="15"/>
      <c r="O1821" s="13">
        <f t="shared" si="78"/>
        <v>0</v>
      </c>
      <c r="P1821" s="22">
        <f>0.063*N1821</f>
        <v>0</v>
      </c>
      <c r="Q1821" s="23">
        <f>0.00006*N1821</f>
        <v>0</v>
      </c>
      <c r="R1821" s="24"/>
      <c r="S1821" s="25" t="s">
        <v>7541</v>
      </c>
      <c r="T1821" s="25" t="s">
        <v>43</v>
      </c>
      <c r="U1821" s="5"/>
      <c r="V1821" s="5"/>
      <c r="W1821" s="5" t="s">
        <v>46</v>
      </c>
      <c r="X1821" s="5"/>
      <c r="Y1821" s="5"/>
      <c r="Z1821" s="5" t="str">
        <f>HYPERLINK("https://knigipp.ru/api/getInfo/image/584416da-1aba-11eb-a25d-ac1f6b442184")</f>
        <v>https://knigipp.ru/api/getInfo/image/584416da-1aba-11eb-a25d-ac1f6b442184</v>
      </c>
      <c r="AA1821" s="33">
        <v>16</v>
      </c>
      <c r="AB1821" s="5"/>
      <c r="AC1821" s="5" t="s">
        <v>96</v>
      </c>
      <c r="AD1821" s="5"/>
      <c r="AE1821" s="5" t="s">
        <v>49</v>
      </c>
      <c r="AF1821" s="5"/>
      <c r="AG1821" s="5"/>
      <c r="AH1821" s="5" t="s">
        <v>238</v>
      </c>
    </row>
    <row r="1822" spans="2:34" ht="21" customHeight="1" outlineLevel="4" x14ac:dyDescent="0.2">
      <c r="B1822" s="42">
        <v>1415</v>
      </c>
      <c r="C1822" s="5" t="s">
        <v>7542</v>
      </c>
      <c r="D1822" s="5" t="s">
        <v>7543</v>
      </c>
      <c r="E1822" s="6" t="s">
        <v>7544</v>
      </c>
      <c r="F1822" s="10"/>
      <c r="G1822" s="11" t="s">
        <v>7532</v>
      </c>
      <c r="H1822" s="12">
        <v>50</v>
      </c>
      <c r="I1822" s="13" t="s">
        <v>41</v>
      </c>
      <c r="J1822" s="13"/>
      <c r="K1822" s="13"/>
      <c r="L1822" s="4">
        <v>10</v>
      </c>
      <c r="M1822" s="14">
        <f>57*(1-P3/100)</f>
        <v>57</v>
      </c>
      <c r="N1822" s="15"/>
      <c r="O1822" s="13">
        <f t="shared" si="78"/>
        <v>0</v>
      </c>
      <c r="P1822" s="22">
        <f>0.064*N1822</f>
        <v>0</v>
      </c>
      <c r="Q1822" s="23">
        <f>0.00022*N1822</f>
        <v>0</v>
      </c>
      <c r="R1822" s="24"/>
      <c r="S1822" s="25" t="s">
        <v>7545</v>
      </c>
      <c r="T1822" s="25" t="s">
        <v>43</v>
      </c>
      <c r="U1822" s="5"/>
      <c r="V1822" s="5"/>
      <c r="W1822" s="5" t="s">
        <v>46</v>
      </c>
      <c r="X1822" s="5"/>
      <c r="Y1822" s="5"/>
      <c r="Z1822" s="5" t="str">
        <f>HYPERLINK("https://knigipp.ru/api/getInfo/image/0a581b3e-1aba-11eb-a25d-ac1f6b442184")</f>
        <v>https://knigipp.ru/api/getInfo/image/0a581b3e-1aba-11eb-a25d-ac1f6b442184</v>
      </c>
      <c r="AA1822" s="33">
        <v>16</v>
      </c>
      <c r="AB1822" s="5"/>
      <c r="AC1822" s="5" t="s">
        <v>96</v>
      </c>
      <c r="AD1822" s="5"/>
      <c r="AE1822" s="5" t="s">
        <v>49</v>
      </c>
      <c r="AF1822" s="5"/>
      <c r="AG1822" s="5"/>
      <c r="AH1822" s="5" t="s">
        <v>238</v>
      </c>
    </row>
    <row r="1823" spans="2:34" ht="21" customHeight="1" outlineLevel="4" x14ac:dyDescent="0.2">
      <c r="B1823" s="42">
        <v>1416</v>
      </c>
      <c r="C1823" s="5" t="s">
        <v>7546</v>
      </c>
      <c r="D1823" s="5" t="s">
        <v>7547</v>
      </c>
      <c r="E1823" s="6" t="s">
        <v>7548</v>
      </c>
      <c r="F1823" s="10"/>
      <c r="G1823" s="11" t="s">
        <v>7532</v>
      </c>
      <c r="H1823" s="12">
        <v>50</v>
      </c>
      <c r="I1823" s="13" t="s">
        <v>41</v>
      </c>
      <c r="J1823" s="13"/>
      <c r="K1823" s="13"/>
      <c r="L1823" s="4">
        <v>10</v>
      </c>
      <c r="M1823" s="14">
        <f>57*(1-P3/100)</f>
        <v>57</v>
      </c>
      <c r="N1823" s="15"/>
      <c r="O1823" s="13">
        <f t="shared" si="78"/>
        <v>0</v>
      </c>
      <c r="P1823" s="32">
        <f>0.07*N1823</f>
        <v>0</v>
      </c>
      <c r="Q1823" s="23">
        <f>0.00011*N1823</f>
        <v>0</v>
      </c>
      <c r="R1823" s="24"/>
      <c r="S1823" s="25" t="s">
        <v>7549</v>
      </c>
      <c r="T1823" s="25" t="s">
        <v>43</v>
      </c>
      <c r="U1823" s="5"/>
      <c r="V1823" s="5"/>
      <c r="W1823" s="5" t="s">
        <v>46</v>
      </c>
      <c r="X1823" s="5"/>
      <c r="Y1823" s="5"/>
      <c r="Z1823" s="5" t="str">
        <f>HYPERLINK("https://knigipp.ru/api/getInfo/image/30b4be2f-9c1e-11ea-a248-ac1f6b442184")</f>
        <v>https://knigipp.ru/api/getInfo/image/30b4be2f-9c1e-11ea-a248-ac1f6b442184</v>
      </c>
      <c r="AA1823" s="33">
        <v>16</v>
      </c>
      <c r="AB1823" s="5"/>
      <c r="AC1823" s="5" t="s">
        <v>96</v>
      </c>
      <c r="AD1823" s="5"/>
      <c r="AE1823" s="5" t="s">
        <v>49</v>
      </c>
      <c r="AF1823" s="5"/>
      <c r="AG1823" s="5"/>
      <c r="AH1823" s="5" t="s">
        <v>238</v>
      </c>
    </row>
    <row r="1824" spans="2:34" ht="21" customHeight="1" outlineLevel="4" x14ac:dyDescent="0.2">
      <c r="B1824" s="42">
        <v>1417</v>
      </c>
      <c r="C1824" s="5" t="s">
        <v>7550</v>
      </c>
      <c r="D1824" s="5" t="s">
        <v>7551</v>
      </c>
      <c r="E1824" s="6" t="s">
        <v>7552</v>
      </c>
      <c r="F1824" s="10"/>
      <c r="G1824" s="11" t="s">
        <v>7532</v>
      </c>
      <c r="H1824" s="12">
        <v>50</v>
      </c>
      <c r="I1824" s="13" t="s">
        <v>41</v>
      </c>
      <c r="J1824" s="13"/>
      <c r="K1824" s="13"/>
      <c r="L1824" s="4">
        <v>10</v>
      </c>
      <c r="M1824" s="14">
        <f>57*(1-P3/100)</f>
        <v>57</v>
      </c>
      <c r="N1824" s="15"/>
      <c r="O1824" s="13">
        <f t="shared" si="78"/>
        <v>0</v>
      </c>
      <c r="P1824" s="22">
        <f>0.064*N1824</f>
        <v>0</v>
      </c>
      <c r="Q1824" s="23">
        <f>0.00023*N1824</f>
        <v>0</v>
      </c>
      <c r="R1824" s="24"/>
      <c r="S1824" s="25" t="s">
        <v>7553</v>
      </c>
      <c r="T1824" s="25" t="s">
        <v>43</v>
      </c>
      <c r="U1824" s="5"/>
      <c r="V1824" s="5"/>
      <c r="W1824" s="5" t="s">
        <v>46</v>
      </c>
      <c r="X1824" s="5"/>
      <c r="Y1824" s="5"/>
      <c r="Z1824" s="5" t="str">
        <f>HYPERLINK("https://knigipp.ru/api/getInfo/image/40e59a1b-1aba-11eb-a25d-ac1f6b442184")</f>
        <v>https://knigipp.ru/api/getInfo/image/40e59a1b-1aba-11eb-a25d-ac1f6b442184</v>
      </c>
      <c r="AA1824" s="33">
        <v>16</v>
      </c>
      <c r="AB1824" s="5"/>
      <c r="AC1824" s="5" t="s">
        <v>96</v>
      </c>
      <c r="AD1824" s="5"/>
      <c r="AE1824" s="5" t="s">
        <v>49</v>
      </c>
      <c r="AF1824" s="5"/>
      <c r="AG1824" s="5"/>
      <c r="AH1824" s="5" t="s">
        <v>238</v>
      </c>
    </row>
    <row r="1825" spans="2:35" ht="21" customHeight="1" outlineLevel="4" x14ac:dyDescent="0.2">
      <c r="B1825" s="42">
        <v>1418</v>
      </c>
      <c r="C1825" s="5" t="s">
        <v>7554</v>
      </c>
      <c r="D1825" s="5" t="s">
        <v>7555</v>
      </c>
      <c r="E1825" s="6" t="s">
        <v>7556</v>
      </c>
      <c r="F1825" s="10"/>
      <c r="G1825" s="11" t="s">
        <v>7532</v>
      </c>
      <c r="H1825" s="12">
        <v>50</v>
      </c>
      <c r="I1825" s="13" t="s">
        <v>41</v>
      </c>
      <c r="J1825" s="13"/>
      <c r="K1825" s="13"/>
      <c r="L1825" s="4">
        <v>10</v>
      </c>
      <c r="M1825" s="14">
        <f>57*(1-P3/100)</f>
        <v>57</v>
      </c>
      <c r="N1825" s="15"/>
      <c r="O1825" s="13">
        <f t="shared" si="78"/>
        <v>0</v>
      </c>
      <c r="P1825" s="22">
        <f>0.063*N1825</f>
        <v>0</v>
      </c>
      <c r="Q1825" s="23">
        <f>0.00017*N1825</f>
        <v>0</v>
      </c>
      <c r="R1825" s="24"/>
      <c r="S1825" s="25" t="s">
        <v>7557</v>
      </c>
      <c r="T1825" s="25" t="s">
        <v>43</v>
      </c>
      <c r="U1825" s="5"/>
      <c r="V1825" s="5"/>
      <c r="W1825" s="5" t="s">
        <v>46</v>
      </c>
      <c r="X1825" s="5"/>
      <c r="Y1825" s="5"/>
      <c r="Z1825" s="5" t="str">
        <f>HYPERLINK("https://knigipp.ru/api/getInfo/image/1b3cbdbb-9c1e-11ea-a248-ac1f6b442184")</f>
        <v>https://knigipp.ru/api/getInfo/image/1b3cbdbb-9c1e-11ea-a248-ac1f6b442184</v>
      </c>
      <c r="AA1825" s="33">
        <v>16</v>
      </c>
      <c r="AB1825" s="5"/>
      <c r="AC1825" s="5" t="s">
        <v>96</v>
      </c>
      <c r="AD1825" s="5"/>
      <c r="AE1825" s="5" t="s">
        <v>49</v>
      </c>
      <c r="AF1825" s="5"/>
      <c r="AG1825" s="5"/>
      <c r="AH1825" s="5" t="s">
        <v>238</v>
      </c>
    </row>
    <row r="1826" spans="2:35" ht="21" customHeight="1" outlineLevel="4" x14ac:dyDescent="0.2">
      <c r="B1826" s="42">
        <v>1419</v>
      </c>
      <c r="C1826" s="5" t="s">
        <v>7558</v>
      </c>
      <c r="D1826" s="5" t="s">
        <v>7559</v>
      </c>
      <c r="E1826" s="6" t="s">
        <v>7560</v>
      </c>
      <c r="F1826" s="10"/>
      <c r="G1826" s="11" t="s">
        <v>7532</v>
      </c>
      <c r="H1826" s="12">
        <v>50</v>
      </c>
      <c r="I1826" s="13" t="s">
        <v>41</v>
      </c>
      <c r="J1826" s="13"/>
      <c r="K1826" s="13"/>
      <c r="L1826" s="4">
        <v>10</v>
      </c>
      <c r="M1826" s="14">
        <f>57*(1-P3/100)</f>
        <v>57</v>
      </c>
      <c r="N1826" s="15"/>
      <c r="O1826" s="13">
        <f t="shared" si="78"/>
        <v>0</v>
      </c>
      <c r="P1826" s="22">
        <f>0.072*N1826</f>
        <v>0</v>
      </c>
      <c r="Q1826" s="23">
        <f>0.00011*N1826</f>
        <v>0</v>
      </c>
      <c r="R1826" s="24"/>
      <c r="S1826" s="25" t="s">
        <v>7561</v>
      </c>
      <c r="T1826" s="25" t="s">
        <v>43</v>
      </c>
      <c r="U1826" s="5"/>
      <c r="V1826" s="5"/>
      <c r="W1826" s="5" t="s">
        <v>46</v>
      </c>
      <c r="X1826" s="5"/>
      <c r="Y1826" s="5"/>
      <c r="Z1826" s="5" t="str">
        <f>HYPERLINK("https://knigipp.ru/api/getInfo/image/6582375a-9c1e-11ea-a248-ac1f6b442184")</f>
        <v>https://knigipp.ru/api/getInfo/image/6582375a-9c1e-11ea-a248-ac1f6b442184</v>
      </c>
      <c r="AA1826" s="33">
        <v>16</v>
      </c>
      <c r="AB1826" s="5"/>
      <c r="AC1826" s="5" t="s">
        <v>96</v>
      </c>
      <c r="AD1826" s="5"/>
      <c r="AE1826" s="5" t="s">
        <v>49</v>
      </c>
      <c r="AF1826" s="5"/>
      <c r="AG1826" s="5"/>
      <c r="AH1826" s="5" t="s">
        <v>238</v>
      </c>
    </row>
    <row r="1827" spans="2:35" ht="22.95" customHeight="1" outlineLevel="3" x14ac:dyDescent="0.2">
      <c r="B1827" s="74" t="s">
        <v>7562</v>
      </c>
      <c r="C1827" s="74"/>
      <c r="D1827" s="74"/>
    </row>
    <row r="1828" spans="2:35" ht="21" customHeight="1" outlineLevel="4" x14ac:dyDescent="0.2">
      <c r="B1828" s="42">
        <v>1420</v>
      </c>
      <c r="C1828" s="5" t="s">
        <v>7563</v>
      </c>
      <c r="D1828" s="5" t="s">
        <v>7564</v>
      </c>
      <c r="E1828" s="6" t="s">
        <v>7565</v>
      </c>
      <c r="F1828" s="10"/>
      <c r="G1828" s="11" t="s">
        <v>7566</v>
      </c>
      <c r="H1828" s="12">
        <v>20</v>
      </c>
      <c r="I1828" s="13" t="s">
        <v>41</v>
      </c>
      <c r="J1828" s="13"/>
      <c r="K1828" s="13"/>
      <c r="L1828" s="4">
        <v>3</v>
      </c>
      <c r="M1828" s="14">
        <f>199*(1-P3/100)</f>
        <v>199</v>
      </c>
      <c r="N1828" s="15"/>
      <c r="O1828" s="13">
        <f>M1828*N1828</f>
        <v>0</v>
      </c>
      <c r="P1828" s="22">
        <f>0.076*N1828</f>
        <v>0</v>
      </c>
      <c r="Q1828" s="23">
        <f>0.00035*N1828</f>
        <v>0</v>
      </c>
      <c r="R1828" s="24"/>
      <c r="S1828" s="25" t="s">
        <v>7567</v>
      </c>
      <c r="T1828" s="25" t="s">
        <v>43</v>
      </c>
      <c r="U1828" s="5"/>
      <c r="V1828" s="5" t="s">
        <v>7568</v>
      </c>
      <c r="W1828" s="5" t="s">
        <v>46</v>
      </c>
      <c r="X1828" s="5"/>
      <c r="Y1828" s="5"/>
      <c r="Z1828" s="5" t="str">
        <f>HYPERLINK("https://knigipp.ru/api/getInfo/image/bf55482b-3d55-11f0-a27c-00155d82e908")</f>
        <v>https://knigipp.ru/api/getInfo/image/bf55482b-3d55-11f0-a27c-00155d82e908</v>
      </c>
      <c r="AA1828" s="33">
        <v>24</v>
      </c>
      <c r="AB1828" s="5"/>
      <c r="AC1828" s="5" t="s">
        <v>219</v>
      </c>
      <c r="AD1828" s="5"/>
      <c r="AE1828" s="5" t="s">
        <v>49</v>
      </c>
      <c r="AF1828" s="5"/>
      <c r="AG1828" s="5"/>
      <c r="AH1828" s="5" t="s">
        <v>7569</v>
      </c>
    </row>
    <row r="1829" spans="2:35" ht="21" customHeight="1" outlineLevel="4" x14ac:dyDescent="0.2">
      <c r="B1829" s="42">
        <v>1421</v>
      </c>
      <c r="C1829" s="5" t="s">
        <v>7570</v>
      </c>
      <c r="D1829" s="5" t="s">
        <v>7571</v>
      </c>
      <c r="E1829" s="6" t="s">
        <v>7572</v>
      </c>
      <c r="F1829" s="10"/>
      <c r="G1829" s="11" t="s">
        <v>7566</v>
      </c>
      <c r="H1829" s="12">
        <v>20</v>
      </c>
      <c r="I1829" s="13" t="s">
        <v>41</v>
      </c>
      <c r="J1829" s="13"/>
      <c r="K1829" s="13"/>
      <c r="L1829" s="4">
        <v>3</v>
      </c>
      <c r="M1829" s="14">
        <f>199*(1-P3/100)</f>
        <v>199</v>
      </c>
      <c r="N1829" s="15"/>
      <c r="O1829" s="13">
        <f>M1829*N1829</f>
        <v>0</v>
      </c>
      <c r="P1829" s="22">
        <f>0.078*N1829</f>
        <v>0</v>
      </c>
      <c r="Q1829" s="23">
        <f>0.00015*N1829</f>
        <v>0</v>
      </c>
      <c r="R1829" s="24"/>
      <c r="S1829" s="25" t="s">
        <v>7573</v>
      </c>
      <c r="T1829" s="25" t="s">
        <v>43</v>
      </c>
      <c r="U1829" s="5"/>
      <c r="V1829" s="5" t="s">
        <v>7574</v>
      </c>
      <c r="W1829" s="5" t="s">
        <v>46</v>
      </c>
      <c r="X1829" s="5"/>
      <c r="Y1829" s="5"/>
      <c r="Z1829" s="5" t="str">
        <f>HYPERLINK("https://knigipp.ru/api/getInfo/image/53612554-3d55-11f0-a27c-00155d82e908")</f>
        <v>https://knigipp.ru/api/getInfo/image/53612554-3d55-11f0-a27c-00155d82e908</v>
      </c>
      <c r="AA1829" s="33">
        <v>24</v>
      </c>
      <c r="AB1829" s="5"/>
      <c r="AC1829" s="5" t="s">
        <v>219</v>
      </c>
      <c r="AD1829" s="5"/>
      <c r="AE1829" s="5" t="s">
        <v>49</v>
      </c>
      <c r="AF1829" s="5"/>
      <c r="AG1829" s="5"/>
      <c r="AH1829" s="5" t="s">
        <v>7569</v>
      </c>
    </row>
    <row r="1830" spans="2:35" ht="21" customHeight="1" outlineLevel="4" x14ac:dyDescent="0.2">
      <c r="B1830" s="43">
        <v>1422</v>
      </c>
      <c r="C1830" s="8" t="s">
        <v>7575</v>
      </c>
      <c r="D1830" s="8" t="s">
        <v>7576</v>
      </c>
      <c r="E1830" s="9" t="s">
        <v>7577</v>
      </c>
      <c r="F1830" s="16"/>
      <c r="G1830" s="17" t="s">
        <v>7566</v>
      </c>
      <c r="H1830" s="18">
        <v>20</v>
      </c>
      <c r="I1830" s="19" t="s">
        <v>41</v>
      </c>
      <c r="J1830" s="19"/>
      <c r="K1830" s="19"/>
      <c r="L1830" s="7">
        <v>3</v>
      </c>
      <c r="M1830" s="21">
        <f>199*(1-P3/100)</f>
        <v>199</v>
      </c>
      <c r="N1830" s="15"/>
      <c r="O1830" s="19">
        <f>M1830*N1830</f>
        <v>0</v>
      </c>
      <c r="P1830" s="26">
        <f>0.079*N1830</f>
        <v>0</v>
      </c>
      <c r="Q1830" s="27">
        <f>0.00016*N1830</f>
        <v>0</v>
      </c>
      <c r="R1830" s="28" t="s">
        <v>81</v>
      </c>
      <c r="S1830" s="29" t="s">
        <v>7578</v>
      </c>
      <c r="T1830" s="29" t="s">
        <v>43</v>
      </c>
      <c r="U1830" s="8"/>
      <c r="V1830" s="8"/>
      <c r="W1830" s="8" t="s">
        <v>46</v>
      </c>
      <c r="X1830" s="8"/>
      <c r="Y1830" s="8"/>
      <c r="Z1830" s="8" t="str">
        <f>HYPERLINK("https://knigipp.ru/api/getInfo/image/7ead91e3-e576-11f0-a28c-00155d82e908")</f>
        <v>https://knigipp.ru/api/getInfo/image/7ead91e3-e576-11f0-a28c-00155d82e908</v>
      </c>
      <c r="AA1830" s="34">
        <v>24</v>
      </c>
      <c r="AB1830" s="8"/>
      <c r="AC1830" s="8" t="s">
        <v>219</v>
      </c>
      <c r="AD1830" s="8"/>
      <c r="AE1830" s="8" t="s">
        <v>49</v>
      </c>
      <c r="AF1830" s="8"/>
      <c r="AG1830" s="8"/>
      <c r="AH1830" s="8" t="s">
        <v>7579</v>
      </c>
      <c r="AI1830" s="55"/>
    </row>
    <row r="1831" spans="2:35" ht="21" customHeight="1" outlineLevel="4" x14ac:dyDescent="0.2">
      <c r="B1831" s="43">
        <v>1423</v>
      </c>
      <c r="C1831" s="8" t="s">
        <v>7580</v>
      </c>
      <c r="D1831" s="8" t="s">
        <v>7581</v>
      </c>
      <c r="E1831" s="9" t="s">
        <v>7582</v>
      </c>
      <c r="F1831" s="16"/>
      <c r="G1831" s="17" t="s">
        <v>7566</v>
      </c>
      <c r="H1831" s="18">
        <v>20</v>
      </c>
      <c r="I1831" s="19" t="s">
        <v>41</v>
      </c>
      <c r="J1831" s="19"/>
      <c r="K1831" s="19"/>
      <c r="L1831" s="7">
        <v>3</v>
      </c>
      <c r="M1831" s="21">
        <f>199*(1-P3/100)</f>
        <v>199</v>
      </c>
      <c r="N1831" s="15"/>
      <c r="O1831" s="19">
        <f>M1831*N1831</f>
        <v>0</v>
      </c>
      <c r="P1831" s="26">
        <f>0.081*N1831</f>
        <v>0</v>
      </c>
      <c r="Q1831" s="27">
        <f>0.00009*N1831</f>
        <v>0</v>
      </c>
      <c r="R1831" s="28" t="s">
        <v>81</v>
      </c>
      <c r="S1831" s="29" t="s">
        <v>7583</v>
      </c>
      <c r="T1831" s="29" t="s">
        <v>43</v>
      </c>
      <c r="U1831" s="8"/>
      <c r="V1831" s="8"/>
      <c r="W1831" s="8" t="s">
        <v>46</v>
      </c>
      <c r="X1831" s="8"/>
      <c r="Y1831" s="8"/>
      <c r="Z1831" s="8" t="str">
        <f>HYPERLINK("https://knigipp.ru/api/getInfo/image/a19f9c9a-e576-11f0-a28c-00155d82e908")</f>
        <v>https://knigipp.ru/api/getInfo/image/a19f9c9a-e576-11f0-a28c-00155d82e908</v>
      </c>
      <c r="AA1831" s="34">
        <v>24</v>
      </c>
      <c r="AB1831" s="8"/>
      <c r="AC1831" s="8" t="s">
        <v>219</v>
      </c>
      <c r="AD1831" s="8"/>
      <c r="AE1831" s="8" t="s">
        <v>49</v>
      </c>
      <c r="AF1831" s="8"/>
      <c r="AG1831" s="8"/>
      <c r="AH1831" s="8" t="s">
        <v>7579</v>
      </c>
      <c r="AI1831" s="55"/>
    </row>
    <row r="1832" spans="2:35" ht="22.95" customHeight="1" outlineLevel="3" x14ac:dyDescent="0.2">
      <c r="B1832" s="74" t="s">
        <v>7584</v>
      </c>
      <c r="C1832" s="74"/>
      <c r="D1832" s="74"/>
    </row>
    <row r="1833" spans="2:35" ht="21" customHeight="1" outlineLevel="4" x14ac:dyDescent="0.2">
      <c r="B1833" s="42">
        <v>1424</v>
      </c>
      <c r="C1833" s="5" t="s">
        <v>7585</v>
      </c>
      <c r="D1833" s="5" t="s">
        <v>7586</v>
      </c>
      <c r="E1833" s="6" t="s">
        <v>7587</v>
      </c>
      <c r="F1833" s="10"/>
      <c r="G1833" s="11" t="s">
        <v>7588</v>
      </c>
      <c r="H1833" s="12">
        <v>20</v>
      </c>
      <c r="I1833" s="13" t="s">
        <v>41</v>
      </c>
      <c r="J1833" s="13"/>
      <c r="K1833" s="13"/>
      <c r="L1833" s="4">
        <v>3</v>
      </c>
      <c r="M1833" s="14">
        <f>237*(1-P3/100)</f>
        <v>237</v>
      </c>
      <c r="N1833" s="15"/>
      <c r="O1833" s="13">
        <f>M1833*N1833</f>
        <v>0</v>
      </c>
      <c r="P1833" s="22">
        <f>0.093*N1833</f>
        <v>0</v>
      </c>
      <c r="Q1833" s="30">
        <f>0.0002*N1833</f>
        <v>0</v>
      </c>
      <c r="R1833" s="24"/>
      <c r="S1833" s="25" t="s">
        <v>7589</v>
      </c>
      <c r="T1833" s="25" t="s">
        <v>43</v>
      </c>
      <c r="U1833" s="5"/>
      <c r="V1833" s="5" t="s">
        <v>7590</v>
      </c>
      <c r="W1833" s="5" t="s">
        <v>46</v>
      </c>
      <c r="X1833" s="5"/>
      <c r="Y1833" s="5"/>
      <c r="Z1833" s="5" t="str">
        <f>HYPERLINK("https://knigipp.ru/api/getInfo/image/9418f8fc-f5ca-11ef-a274-00155d82e908")</f>
        <v>https://knigipp.ru/api/getInfo/image/9418f8fc-f5ca-11ef-a274-00155d82e908</v>
      </c>
      <c r="AA1833" s="33">
        <v>24</v>
      </c>
      <c r="AB1833" s="5" t="s">
        <v>47</v>
      </c>
      <c r="AC1833" s="5" t="s">
        <v>219</v>
      </c>
      <c r="AD1833" s="5"/>
      <c r="AE1833" s="5" t="s">
        <v>49</v>
      </c>
      <c r="AF1833" s="5"/>
      <c r="AG1833" s="5"/>
      <c r="AH1833" s="5" t="s">
        <v>7591</v>
      </c>
    </row>
    <row r="1834" spans="2:35" ht="21" customHeight="1" outlineLevel="4" x14ac:dyDescent="0.2">
      <c r="B1834" s="42">
        <v>1425</v>
      </c>
      <c r="C1834" s="5" t="s">
        <v>7592</v>
      </c>
      <c r="D1834" s="5" t="s">
        <v>7593</v>
      </c>
      <c r="E1834" s="6" t="s">
        <v>7594</v>
      </c>
      <c r="F1834" s="10"/>
      <c r="G1834" s="11" t="s">
        <v>7588</v>
      </c>
      <c r="H1834" s="12">
        <v>20</v>
      </c>
      <c r="I1834" s="13" t="s">
        <v>41</v>
      </c>
      <c r="J1834" s="13"/>
      <c r="K1834" s="13"/>
      <c r="L1834" s="4">
        <v>3</v>
      </c>
      <c r="M1834" s="14">
        <f>237*(1-P3/100)</f>
        <v>237</v>
      </c>
      <c r="N1834" s="15"/>
      <c r="O1834" s="13">
        <f>M1834*N1834</f>
        <v>0</v>
      </c>
      <c r="P1834" s="22">
        <f>0.085*N1834</f>
        <v>0</v>
      </c>
      <c r="Q1834" s="23">
        <f>0.00017*N1834</f>
        <v>0</v>
      </c>
      <c r="R1834" s="24"/>
      <c r="S1834" s="25" t="s">
        <v>7595</v>
      </c>
      <c r="T1834" s="25" t="s">
        <v>43</v>
      </c>
      <c r="U1834" s="5"/>
      <c r="V1834" s="5" t="s">
        <v>7596</v>
      </c>
      <c r="W1834" s="5" t="s">
        <v>46</v>
      </c>
      <c r="X1834" s="5"/>
      <c r="Y1834" s="5"/>
      <c r="Z1834" s="5" t="str">
        <f>HYPERLINK("https://knigipp.ru/api/getInfo/image/b5d79575-f5ca-11ef-a274-00155d82e908")</f>
        <v>https://knigipp.ru/api/getInfo/image/b5d79575-f5ca-11ef-a274-00155d82e908</v>
      </c>
      <c r="AA1834" s="33">
        <v>24</v>
      </c>
      <c r="AB1834" s="5" t="s">
        <v>47</v>
      </c>
      <c r="AC1834" s="5" t="s">
        <v>219</v>
      </c>
      <c r="AD1834" s="5"/>
      <c r="AE1834" s="5" t="s">
        <v>49</v>
      </c>
      <c r="AF1834" s="5"/>
      <c r="AG1834" s="5"/>
      <c r="AH1834" s="5" t="s">
        <v>7591</v>
      </c>
    </row>
    <row r="1835" spans="2:35" ht="21" customHeight="1" outlineLevel="4" x14ac:dyDescent="0.2">
      <c r="B1835" s="42">
        <v>1426</v>
      </c>
      <c r="C1835" s="5" t="s">
        <v>7597</v>
      </c>
      <c r="D1835" s="5" t="s">
        <v>7598</v>
      </c>
      <c r="E1835" s="6" t="s">
        <v>7599</v>
      </c>
      <c r="F1835" s="10"/>
      <c r="G1835" s="11" t="s">
        <v>7588</v>
      </c>
      <c r="H1835" s="12">
        <v>20</v>
      </c>
      <c r="I1835" s="13" t="s">
        <v>41</v>
      </c>
      <c r="J1835" s="13"/>
      <c r="K1835" s="13"/>
      <c r="L1835" s="4">
        <v>3</v>
      </c>
      <c r="M1835" s="14">
        <f>237*(1-P3/100)</f>
        <v>237</v>
      </c>
      <c r="N1835" s="15"/>
      <c r="O1835" s="13">
        <f>M1835*N1835</f>
        <v>0</v>
      </c>
      <c r="P1835" s="22">
        <f>0.084*N1835</f>
        <v>0</v>
      </c>
      <c r="Q1835" s="30">
        <f>0.0001*N1835</f>
        <v>0</v>
      </c>
      <c r="R1835" s="24"/>
      <c r="S1835" s="25" t="s">
        <v>7600</v>
      </c>
      <c r="T1835" s="25" t="s">
        <v>43</v>
      </c>
      <c r="U1835" s="5"/>
      <c r="V1835" s="5" t="s">
        <v>7601</v>
      </c>
      <c r="W1835" s="5" t="s">
        <v>46</v>
      </c>
      <c r="X1835" s="5"/>
      <c r="Y1835" s="5"/>
      <c r="Z1835" s="5" t="str">
        <f>HYPERLINK("https://knigipp.ru/api/getInfo/image/6b0eafe4-f5ca-11ef-a274-00155d82e908")</f>
        <v>https://knigipp.ru/api/getInfo/image/6b0eafe4-f5ca-11ef-a274-00155d82e908</v>
      </c>
      <c r="AA1835" s="33">
        <v>24</v>
      </c>
      <c r="AB1835" s="5" t="s">
        <v>47</v>
      </c>
      <c r="AC1835" s="5" t="s">
        <v>219</v>
      </c>
      <c r="AD1835" s="5"/>
      <c r="AE1835" s="5" t="s">
        <v>49</v>
      </c>
      <c r="AF1835" s="5"/>
      <c r="AG1835" s="5"/>
      <c r="AH1835" s="5" t="s">
        <v>7591</v>
      </c>
    </row>
    <row r="1836" spans="2:35" ht="21" customHeight="1" outlineLevel="4" x14ac:dyDescent="0.2">
      <c r="B1836" s="42">
        <v>1427</v>
      </c>
      <c r="C1836" s="5" t="s">
        <v>7602</v>
      </c>
      <c r="D1836" s="5" t="s">
        <v>7603</v>
      </c>
      <c r="E1836" s="6" t="s">
        <v>7604</v>
      </c>
      <c r="F1836" s="10"/>
      <c r="G1836" s="11" t="s">
        <v>7588</v>
      </c>
      <c r="H1836" s="12">
        <v>20</v>
      </c>
      <c r="I1836" s="13" t="s">
        <v>41</v>
      </c>
      <c r="J1836" s="13"/>
      <c r="K1836" s="13"/>
      <c r="L1836" s="4">
        <v>3</v>
      </c>
      <c r="M1836" s="14">
        <f>237*(1-P3/100)</f>
        <v>237</v>
      </c>
      <c r="N1836" s="15"/>
      <c r="O1836" s="13">
        <f>M1836*N1836</f>
        <v>0</v>
      </c>
      <c r="P1836" s="22">
        <f>0.086*N1836</f>
        <v>0</v>
      </c>
      <c r="Q1836" s="23">
        <f>0.00017*N1836</f>
        <v>0</v>
      </c>
      <c r="R1836" s="24"/>
      <c r="S1836" s="25" t="s">
        <v>7605</v>
      </c>
      <c r="T1836" s="25" t="s">
        <v>43</v>
      </c>
      <c r="U1836" s="5"/>
      <c r="V1836" s="5" t="s">
        <v>7606</v>
      </c>
      <c r="W1836" s="5" t="s">
        <v>46</v>
      </c>
      <c r="X1836" s="5"/>
      <c r="Y1836" s="5"/>
      <c r="Z1836" s="5" t="str">
        <f>HYPERLINK("https://knigipp.ru/api/getInfo/image/3ebf9bb4-f5ca-11ef-a274-00155d82e908")</f>
        <v>https://knigipp.ru/api/getInfo/image/3ebf9bb4-f5ca-11ef-a274-00155d82e908</v>
      </c>
      <c r="AA1836" s="33">
        <v>24</v>
      </c>
      <c r="AB1836" s="5" t="s">
        <v>47</v>
      </c>
      <c r="AC1836" s="5" t="s">
        <v>219</v>
      </c>
      <c r="AD1836" s="5"/>
      <c r="AE1836" s="5" t="s">
        <v>49</v>
      </c>
      <c r="AF1836" s="5"/>
      <c r="AG1836" s="5"/>
      <c r="AH1836" s="5" t="s">
        <v>7591</v>
      </c>
    </row>
    <row r="1837" spans="2:35" ht="22.95" customHeight="1" outlineLevel="3" x14ac:dyDescent="0.2">
      <c r="B1837" s="74" t="s">
        <v>7607</v>
      </c>
      <c r="C1837" s="74"/>
      <c r="D1837" s="74"/>
    </row>
    <row r="1838" spans="2:35" ht="21" customHeight="1" outlineLevel="4" x14ac:dyDescent="0.2">
      <c r="B1838" s="42">
        <v>1428</v>
      </c>
      <c r="C1838" s="5" t="s">
        <v>7608</v>
      </c>
      <c r="D1838" s="5" t="s">
        <v>7609</v>
      </c>
      <c r="E1838" s="6" t="s">
        <v>7610</v>
      </c>
      <c r="F1838" s="10"/>
      <c r="G1838" s="11" t="s">
        <v>7611</v>
      </c>
      <c r="H1838" s="12">
        <v>50</v>
      </c>
      <c r="I1838" s="13" t="s">
        <v>261</v>
      </c>
      <c r="J1838" s="13"/>
      <c r="K1838" s="13"/>
      <c r="L1838" s="4">
        <v>25</v>
      </c>
      <c r="M1838" s="14">
        <f>23.63*(1-P3/100)</f>
        <v>23.63</v>
      </c>
      <c r="N1838" s="15"/>
      <c r="O1838" s="13">
        <f>M1838*N1838</f>
        <v>0</v>
      </c>
      <c r="P1838" s="22">
        <f>0.056*N1838</f>
        <v>0</v>
      </c>
      <c r="Q1838" s="23">
        <f>0.00011*N1838</f>
        <v>0</v>
      </c>
      <c r="R1838" s="24"/>
      <c r="S1838" s="25" t="s">
        <v>7612</v>
      </c>
      <c r="T1838" s="25" t="s">
        <v>43</v>
      </c>
      <c r="U1838" s="5" t="s">
        <v>7613</v>
      </c>
      <c r="V1838" s="5"/>
      <c r="W1838" s="5" t="s">
        <v>46</v>
      </c>
      <c r="X1838" s="5" t="s">
        <v>7614</v>
      </c>
      <c r="Y1838" s="5"/>
      <c r="Z1838" s="5"/>
      <c r="AA1838" s="33">
        <v>16</v>
      </c>
      <c r="AB1838" s="5"/>
      <c r="AC1838" s="5" t="s">
        <v>7615</v>
      </c>
      <c r="AD1838" s="5"/>
      <c r="AE1838" s="5" t="s">
        <v>49</v>
      </c>
      <c r="AF1838" s="5"/>
      <c r="AG1838" s="5" t="s">
        <v>7616</v>
      </c>
      <c r="AH1838" s="5" t="s">
        <v>472</v>
      </c>
    </row>
    <row r="1839" spans="2:35" ht="22.95" customHeight="1" outlineLevel="3" x14ac:dyDescent="0.2">
      <c r="B1839" s="74" t="s">
        <v>7617</v>
      </c>
      <c r="C1839" s="74"/>
      <c r="D1839" s="74"/>
    </row>
    <row r="1840" spans="2:35" ht="21" customHeight="1" outlineLevel="4" x14ac:dyDescent="0.2">
      <c r="B1840" s="42">
        <v>1429</v>
      </c>
      <c r="C1840" s="5" t="s">
        <v>7618</v>
      </c>
      <c r="D1840" s="5" t="s">
        <v>7619</v>
      </c>
      <c r="E1840" s="6" t="s">
        <v>7620</v>
      </c>
      <c r="F1840" s="10"/>
      <c r="G1840" s="11" t="s">
        <v>7621</v>
      </c>
      <c r="H1840" s="12">
        <v>50</v>
      </c>
      <c r="I1840" s="13" t="s">
        <v>41</v>
      </c>
      <c r="J1840" s="13"/>
      <c r="K1840" s="13"/>
      <c r="L1840" s="4">
        <v>4</v>
      </c>
      <c r="M1840" s="14">
        <f>147*(1-P3/100)</f>
        <v>147</v>
      </c>
      <c r="N1840" s="15"/>
      <c r="O1840" s="13">
        <f t="shared" ref="O1840:O1847" si="79">M1840*N1840</f>
        <v>0</v>
      </c>
      <c r="P1840" s="22">
        <f>0.069*N1840</f>
        <v>0</v>
      </c>
      <c r="Q1840" s="23">
        <f>0.00017*N1840</f>
        <v>0</v>
      </c>
      <c r="R1840" s="24"/>
      <c r="S1840" s="25" t="s">
        <v>7622</v>
      </c>
      <c r="T1840" s="25" t="s">
        <v>43</v>
      </c>
      <c r="U1840" s="5"/>
      <c r="V1840" s="5" t="s">
        <v>7623</v>
      </c>
      <c r="W1840" s="5" t="s">
        <v>46</v>
      </c>
      <c r="X1840" s="5"/>
      <c r="Y1840" s="5"/>
      <c r="Z1840" s="5" t="str">
        <f>HYPERLINK("https://knigipp.ru/api/getInfo/image/47d3ea0b-c4f0-11ef-a268-00155d82e908")</f>
        <v>https://knigipp.ru/api/getInfo/image/47d3ea0b-c4f0-11ef-a268-00155d82e908</v>
      </c>
      <c r="AA1840" s="33">
        <v>16</v>
      </c>
      <c r="AB1840" s="5"/>
      <c r="AC1840" s="5" t="s">
        <v>96</v>
      </c>
      <c r="AD1840" s="5"/>
      <c r="AE1840" s="5" t="s">
        <v>49</v>
      </c>
      <c r="AF1840" s="5"/>
      <c r="AG1840" s="5"/>
      <c r="AH1840" s="5" t="s">
        <v>472</v>
      </c>
    </row>
    <row r="1841" spans="2:34" ht="21" customHeight="1" outlineLevel="4" x14ac:dyDescent="0.2">
      <c r="B1841" s="42">
        <v>1430</v>
      </c>
      <c r="C1841" s="5" t="s">
        <v>7624</v>
      </c>
      <c r="D1841" s="5" t="s">
        <v>7625</v>
      </c>
      <c r="E1841" s="6" t="s">
        <v>7626</v>
      </c>
      <c r="F1841" s="10"/>
      <c r="G1841" s="11" t="s">
        <v>7621</v>
      </c>
      <c r="H1841" s="12">
        <v>50</v>
      </c>
      <c r="I1841" s="13" t="s">
        <v>41</v>
      </c>
      <c r="J1841" s="13"/>
      <c r="K1841" s="13"/>
      <c r="L1841" s="4">
        <v>4</v>
      </c>
      <c r="M1841" s="14">
        <f>147*(1-P3/100)</f>
        <v>147</v>
      </c>
      <c r="N1841" s="15"/>
      <c r="O1841" s="13">
        <f t="shared" si="79"/>
        <v>0</v>
      </c>
      <c r="P1841" s="32">
        <f>0.07*N1841</f>
        <v>0</v>
      </c>
      <c r="Q1841" s="23">
        <f>0.00022*N1841</f>
        <v>0</v>
      </c>
      <c r="R1841" s="24"/>
      <c r="S1841" s="25" t="s">
        <v>7627</v>
      </c>
      <c r="T1841" s="25" t="s">
        <v>43</v>
      </c>
      <c r="U1841" s="5"/>
      <c r="V1841" s="5" t="s">
        <v>7628</v>
      </c>
      <c r="W1841" s="5" t="s">
        <v>46</v>
      </c>
      <c r="X1841" s="5"/>
      <c r="Y1841" s="5"/>
      <c r="Z1841" s="5" t="str">
        <f>HYPERLINK("https://knigipp.ru/api/getInfo/image/6d107375-c4f0-11ef-a268-00155d82e908")</f>
        <v>https://knigipp.ru/api/getInfo/image/6d107375-c4f0-11ef-a268-00155d82e908</v>
      </c>
      <c r="AA1841" s="33">
        <v>16</v>
      </c>
      <c r="AB1841" s="5"/>
      <c r="AC1841" s="5" t="s">
        <v>96</v>
      </c>
      <c r="AD1841" s="5"/>
      <c r="AE1841" s="5" t="s">
        <v>49</v>
      </c>
      <c r="AF1841" s="5"/>
      <c r="AG1841" s="5"/>
      <c r="AH1841" s="5" t="s">
        <v>472</v>
      </c>
    </row>
    <row r="1842" spans="2:34" ht="21" customHeight="1" outlineLevel="4" x14ac:dyDescent="0.2">
      <c r="B1842" s="42">
        <v>1431</v>
      </c>
      <c r="C1842" s="5" t="s">
        <v>7629</v>
      </c>
      <c r="D1842" s="5" t="s">
        <v>7630</v>
      </c>
      <c r="E1842" s="6" t="s">
        <v>7631</v>
      </c>
      <c r="F1842" s="10"/>
      <c r="G1842" s="11" t="s">
        <v>7621</v>
      </c>
      <c r="H1842" s="12">
        <v>50</v>
      </c>
      <c r="I1842" s="13" t="s">
        <v>41</v>
      </c>
      <c r="J1842" s="13"/>
      <c r="K1842" s="13"/>
      <c r="L1842" s="4">
        <v>4</v>
      </c>
      <c r="M1842" s="14">
        <f>147*(1-P3/100)</f>
        <v>147</v>
      </c>
      <c r="N1842" s="15"/>
      <c r="O1842" s="13">
        <f t="shared" si="79"/>
        <v>0</v>
      </c>
      <c r="P1842" s="22">
        <f>0.068*N1842</f>
        <v>0</v>
      </c>
      <c r="Q1842" s="23">
        <f>0.00028*N1842</f>
        <v>0</v>
      </c>
      <c r="R1842" s="24"/>
      <c r="S1842" s="25" t="s">
        <v>7632</v>
      </c>
      <c r="T1842" s="25" t="s">
        <v>43</v>
      </c>
      <c r="U1842" s="5"/>
      <c r="V1842" s="5" t="s">
        <v>7633</v>
      </c>
      <c r="W1842" s="5" t="s">
        <v>46</v>
      </c>
      <c r="X1842" s="5"/>
      <c r="Y1842" s="5"/>
      <c r="Z1842" s="5" t="str">
        <f>HYPERLINK("https://knigipp.ru/api/getInfo/image/ada1bc17-c4f0-11ef-a268-00155d82e908")</f>
        <v>https://knigipp.ru/api/getInfo/image/ada1bc17-c4f0-11ef-a268-00155d82e908</v>
      </c>
      <c r="AA1842" s="33">
        <v>16</v>
      </c>
      <c r="AB1842" s="5"/>
      <c r="AC1842" s="5" t="s">
        <v>96</v>
      </c>
      <c r="AD1842" s="5"/>
      <c r="AE1842" s="5" t="s">
        <v>49</v>
      </c>
      <c r="AF1842" s="5"/>
      <c r="AG1842" s="5"/>
      <c r="AH1842" s="5" t="s">
        <v>472</v>
      </c>
    </row>
    <row r="1843" spans="2:34" ht="21" customHeight="1" outlineLevel="4" x14ac:dyDescent="0.2">
      <c r="B1843" s="42">
        <v>1432</v>
      </c>
      <c r="C1843" s="5" t="s">
        <v>7634</v>
      </c>
      <c r="D1843" s="5" t="s">
        <v>7635</v>
      </c>
      <c r="E1843" s="6" t="s">
        <v>7636</v>
      </c>
      <c r="F1843" s="10"/>
      <c r="G1843" s="11" t="s">
        <v>7621</v>
      </c>
      <c r="H1843" s="12">
        <v>50</v>
      </c>
      <c r="I1843" s="13" t="s">
        <v>41</v>
      </c>
      <c r="J1843" s="13"/>
      <c r="K1843" s="13"/>
      <c r="L1843" s="4">
        <v>4</v>
      </c>
      <c r="M1843" s="14">
        <f>147*(1-P3/100)</f>
        <v>147</v>
      </c>
      <c r="N1843" s="15"/>
      <c r="O1843" s="13">
        <f t="shared" si="79"/>
        <v>0</v>
      </c>
      <c r="P1843" s="22">
        <f>0.065*N1843</f>
        <v>0</v>
      </c>
      <c r="Q1843" s="23">
        <f>0.00022*N1843</f>
        <v>0</v>
      </c>
      <c r="R1843" s="24"/>
      <c r="S1843" s="25" t="s">
        <v>7637</v>
      </c>
      <c r="T1843" s="25" t="s">
        <v>43</v>
      </c>
      <c r="U1843" s="5"/>
      <c r="V1843" s="5" t="s">
        <v>7638</v>
      </c>
      <c r="W1843" s="5" t="s">
        <v>46</v>
      </c>
      <c r="X1843" s="5"/>
      <c r="Y1843" s="5"/>
      <c r="Z1843" s="5" t="str">
        <f>HYPERLINK("https://knigipp.ru/api/getInfo/image/9013b263-c4f0-11ef-a268-00155d82e908")</f>
        <v>https://knigipp.ru/api/getInfo/image/9013b263-c4f0-11ef-a268-00155d82e908</v>
      </c>
      <c r="AA1843" s="33">
        <v>16</v>
      </c>
      <c r="AB1843" s="5"/>
      <c r="AC1843" s="5" t="s">
        <v>96</v>
      </c>
      <c r="AD1843" s="5"/>
      <c r="AE1843" s="5" t="s">
        <v>49</v>
      </c>
      <c r="AF1843" s="5"/>
      <c r="AG1843" s="5"/>
      <c r="AH1843" s="5" t="s">
        <v>472</v>
      </c>
    </row>
    <row r="1844" spans="2:34" ht="21" customHeight="1" outlineLevel="4" x14ac:dyDescent="0.2">
      <c r="B1844" s="42">
        <v>1433</v>
      </c>
      <c r="C1844" s="5" t="s">
        <v>7639</v>
      </c>
      <c r="D1844" s="5" t="s">
        <v>7640</v>
      </c>
      <c r="E1844" s="6" t="s">
        <v>7641</v>
      </c>
      <c r="F1844" s="10"/>
      <c r="G1844" s="11" t="s">
        <v>7621</v>
      </c>
      <c r="H1844" s="12">
        <v>50</v>
      </c>
      <c r="I1844" s="13" t="s">
        <v>41</v>
      </c>
      <c r="J1844" s="13"/>
      <c r="K1844" s="13"/>
      <c r="L1844" s="4">
        <v>4</v>
      </c>
      <c r="M1844" s="14">
        <f>147*(1-P3/100)</f>
        <v>147</v>
      </c>
      <c r="N1844" s="15"/>
      <c r="O1844" s="13">
        <f t="shared" si="79"/>
        <v>0</v>
      </c>
      <c r="P1844" s="22">
        <f>0.063*N1844</f>
        <v>0</v>
      </c>
      <c r="Q1844" s="23">
        <f>0.00017*N1844</f>
        <v>0</v>
      </c>
      <c r="R1844" s="24"/>
      <c r="S1844" s="25" t="s">
        <v>7642</v>
      </c>
      <c r="T1844" s="25" t="s">
        <v>43</v>
      </c>
      <c r="U1844" s="5"/>
      <c r="V1844" s="5" t="s">
        <v>7643</v>
      </c>
      <c r="W1844" s="5" t="s">
        <v>46</v>
      </c>
      <c r="X1844" s="5"/>
      <c r="Y1844" s="5"/>
      <c r="Z1844" s="5" t="str">
        <f>HYPERLINK("https://knigipp.ru/api/getInfo/image/ac8379d8-dfda-11ef-a273-00155d82e908")</f>
        <v>https://knigipp.ru/api/getInfo/image/ac8379d8-dfda-11ef-a273-00155d82e908</v>
      </c>
      <c r="AA1844" s="33">
        <v>16</v>
      </c>
      <c r="AB1844" s="5" t="s">
        <v>47</v>
      </c>
      <c r="AC1844" s="5" t="s">
        <v>96</v>
      </c>
      <c r="AD1844" s="5"/>
      <c r="AE1844" s="5" t="s">
        <v>49</v>
      </c>
      <c r="AF1844" s="5"/>
      <c r="AG1844" s="5"/>
      <c r="AH1844" s="5" t="s">
        <v>472</v>
      </c>
    </row>
    <row r="1845" spans="2:34" ht="21" customHeight="1" outlineLevel="4" x14ac:dyDescent="0.2">
      <c r="B1845" s="42">
        <v>1434</v>
      </c>
      <c r="C1845" s="5" t="s">
        <v>7644</v>
      </c>
      <c r="D1845" s="5" t="s">
        <v>7645</v>
      </c>
      <c r="E1845" s="6" t="s">
        <v>7646</v>
      </c>
      <c r="F1845" s="10"/>
      <c r="G1845" s="11" t="s">
        <v>7621</v>
      </c>
      <c r="H1845" s="12">
        <v>50</v>
      </c>
      <c r="I1845" s="13" t="s">
        <v>41</v>
      </c>
      <c r="J1845" s="13"/>
      <c r="K1845" s="13"/>
      <c r="L1845" s="4">
        <v>4</v>
      </c>
      <c r="M1845" s="14">
        <f>147*(1-P3/100)</f>
        <v>147</v>
      </c>
      <c r="N1845" s="15"/>
      <c r="O1845" s="13">
        <f t="shared" si="79"/>
        <v>0</v>
      </c>
      <c r="P1845" s="22">
        <f>0.067*N1845</f>
        <v>0</v>
      </c>
      <c r="Q1845" s="23">
        <f>0.00035*N1845</f>
        <v>0</v>
      </c>
      <c r="R1845" s="24"/>
      <c r="S1845" s="25" t="s">
        <v>7647</v>
      </c>
      <c r="T1845" s="25" t="s">
        <v>43</v>
      </c>
      <c r="U1845" s="5"/>
      <c r="V1845" s="5" t="s">
        <v>7648</v>
      </c>
      <c r="W1845" s="5" t="s">
        <v>46</v>
      </c>
      <c r="X1845" s="5"/>
      <c r="Y1845" s="5"/>
      <c r="Z1845" s="5" t="str">
        <f>HYPERLINK("https://knigipp.ru/api/getInfo/image/f9172d19-dfda-11ef-a273-00155d82e908")</f>
        <v>https://knigipp.ru/api/getInfo/image/f9172d19-dfda-11ef-a273-00155d82e908</v>
      </c>
      <c r="AA1845" s="33">
        <v>16</v>
      </c>
      <c r="AB1845" s="5" t="s">
        <v>47</v>
      </c>
      <c r="AC1845" s="5" t="s">
        <v>96</v>
      </c>
      <c r="AD1845" s="5"/>
      <c r="AE1845" s="5" t="s">
        <v>49</v>
      </c>
      <c r="AF1845" s="5"/>
      <c r="AG1845" s="5"/>
      <c r="AH1845" s="5" t="s">
        <v>472</v>
      </c>
    </row>
    <row r="1846" spans="2:34" ht="21" customHeight="1" outlineLevel="4" x14ac:dyDescent="0.2">
      <c r="B1846" s="42">
        <v>1435</v>
      </c>
      <c r="C1846" s="5" t="s">
        <v>7649</v>
      </c>
      <c r="D1846" s="5" t="s">
        <v>7650</v>
      </c>
      <c r="E1846" s="6" t="s">
        <v>7651</v>
      </c>
      <c r="F1846" s="10"/>
      <c r="G1846" s="11" t="s">
        <v>7621</v>
      </c>
      <c r="H1846" s="12">
        <v>50</v>
      </c>
      <c r="I1846" s="13" t="s">
        <v>41</v>
      </c>
      <c r="J1846" s="13"/>
      <c r="K1846" s="13"/>
      <c r="L1846" s="4">
        <v>4</v>
      </c>
      <c r="M1846" s="14">
        <f>147*(1-P3/100)</f>
        <v>147</v>
      </c>
      <c r="N1846" s="15"/>
      <c r="O1846" s="13">
        <f t="shared" si="79"/>
        <v>0</v>
      </c>
      <c r="P1846" s="22">
        <f>0.069*N1846</f>
        <v>0</v>
      </c>
      <c r="Q1846" s="23">
        <f>0.00017*N1846</f>
        <v>0</v>
      </c>
      <c r="R1846" s="24"/>
      <c r="S1846" s="25" t="s">
        <v>7652</v>
      </c>
      <c r="T1846" s="25" t="s">
        <v>43</v>
      </c>
      <c r="U1846" s="5"/>
      <c r="V1846" s="5" t="s">
        <v>7653</v>
      </c>
      <c r="W1846" s="5" t="s">
        <v>46</v>
      </c>
      <c r="X1846" s="5"/>
      <c r="Y1846" s="5"/>
      <c r="Z1846" s="5" t="str">
        <f>HYPERLINK("https://knigipp.ru/api/getInfo/image/d7ab0f75-dfda-11ef-a273-00155d82e908")</f>
        <v>https://knigipp.ru/api/getInfo/image/d7ab0f75-dfda-11ef-a273-00155d82e908</v>
      </c>
      <c r="AA1846" s="33">
        <v>16</v>
      </c>
      <c r="AB1846" s="5" t="s">
        <v>47</v>
      </c>
      <c r="AC1846" s="5" t="s">
        <v>96</v>
      </c>
      <c r="AD1846" s="5"/>
      <c r="AE1846" s="5" t="s">
        <v>49</v>
      </c>
      <c r="AF1846" s="5"/>
      <c r="AG1846" s="5"/>
      <c r="AH1846" s="5" t="s">
        <v>472</v>
      </c>
    </row>
    <row r="1847" spans="2:34" ht="21" customHeight="1" outlineLevel="4" x14ac:dyDescent="0.2">
      <c r="B1847" s="42">
        <v>1436</v>
      </c>
      <c r="C1847" s="5" t="s">
        <v>7654</v>
      </c>
      <c r="D1847" s="5" t="s">
        <v>7655</v>
      </c>
      <c r="E1847" s="6" t="s">
        <v>7656</v>
      </c>
      <c r="F1847" s="10"/>
      <c r="G1847" s="11" t="s">
        <v>7621</v>
      </c>
      <c r="H1847" s="12">
        <v>50</v>
      </c>
      <c r="I1847" s="13" t="s">
        <v>41</v>
      </c>
      <c r="J1847" s="13"/>
      <c r="K1847" s="13"/>
      <c r="L1847" s="4">
        <v>4</v>
      </c>
      <c r="M1847" s="14">
        <f>147*(1-P3/100)</f>
        <v>147</v>
      </c>
      <c r="N1847" s="15"/>
      <c r="O1847" s="13">
        <f t="shared" si="79"/>
        <v>0</v>
      </c>
      <c r="P1847" s="22">
        <f>0.067*N1847</f>
        <v>0</v>
      </c>
      <c r="Q1847" s="23">
        <f>0.00017*N1847</f>
        <v>0</v>
      </c>
      <c r="R1847" s="24"/>
      <c r="S1847" s="25" t="s">
        <v>7657</v>
      </c>
      <c r="T1847" s="25" t="s">
        <v>43</v>
      </c>
      <c r="U1847" s="5"/>
      <c r="V1847" s="5" t="s">
        <v>7658</v>
      </c>
      <c r="W1847" s="5" t="s">
        <v>46</v>
      </c>
      <c r="X1847" s="5"/>
      <c r="Y1847" s="5"/>
      <c r="Z1847" s="5" t="str">
        <f>HYPERLINK("https://knigipp.ru/api/getInfo/image/15c80a9f-dfdb-11ef-a273-00155d82e908")</f>
        <v>https://knigipp.ru/api/getInfo/image/15c80a9f-dfdb-11ef-a273-00155d82e908</v>
      </c>
      <c r="AA1847" s="33">
        <v>16</v>
      </c>
      <c r="AB1847" s="5" t="s">
        <v>47</v>
      </c>
      <c r="AC1847" s="5" t="s">
        <v>96</v>
      </c>
      <c r="AD1847" s="5"/>
      <c r="AE1847" s="5" t="s">
        <v>49</v>
      </c>
      <c r="AF1847" s="5"/>
      <c r="AG1847" s="5"/>
      <c r="AH1847" s="5" t="s">
        <v>472</v>
      </c>
    </row>
    <row r="1848" spans="2:34" ht="22.95" customHeight="1" outlineLevel="3" x14ac:dyDescent="0.2">
      <c r="B1848" s="74" t="s">
        <v>7659</v>
      </c>
      <c r="C1848" s="74"/>
      <c r="D1848" s="74"/>
    </row>
    <row r="1849" spans="2:34" ht="21" customHeight="1" outlineLevel="4" x14ac:dyDescent="0.2">
      <c r="B1849" s="42">
        <v>1437</v>
      </c>
      <c r="C1849" s="5" t="s">
        <v>7660</v>
      </c>
      <c r="D1849" s="5" t="s">
        <v>7661</v>
      </c>
      <c r="E1849" s="6" t="s">
        <v>7662</v>
      </c>
      <c r="F1849" s="10"/>
      <c r="G1849" s="11" t="s">
        <v>7663</v>
      </c>
      <c r="H1849" s="12">
        <v>25</v>
      </c>
      <c r="I1849" s="13" t="s">
        <v>41</v>
      </c>
      <c r="J1849" s="13"/>
      <c r="K1849" s="13"/>
      <c r="L1849" s="4">
        <v>5</v>
      </c>
      <c r="M1849" s="14">
        <f>137*(1-P3/100)</f>
        <v>137</v>
      </c>
      <c r="N1849" s="15"/>
      <c r="O1849" s="13">
        <f t="shared" ref="O1849:O1856" si="80">M1849*N1849</f>
        <v>0</v>
      </c>
      <c r="P1849" s="22">
        <f>0.141*N1849</f>
        <v>0</v>
      </c>
      <c r="Q1849" s="30">
        <f>0.0006*N1849</f>
        <v>0</v>
      </c>
      <c r="R1849" s="24"/>
      <c r="S1849" s="25" t="s">
        <v>7664</v>
      </c>
      <c r="T1849" s="25" t="s">
        <v>43</v>
      </c>
      <c r="U1849" s="5"/>
      <c r="V1849" s="5" t="s">
        <v>7665</v>
      </c>
      <c r="W1849" s="5" t="s">
        <v>46</v>
      </c>
      <c r="X1849" s="5"/>
      <c r="Y1849" s="5"/>
      <c r="Z1849" s="5" t="str">
        <f>HYPERLINK("https://knigipp.ru/api/getInfo/image/71643eea-66cf-11ef-a265-00155d82e908")</f>
        <v>https://knigipp.ru/api/getInfo/image/71643eea-66cf-11ef-a265-00155d82e908</v>
      </c>
      <c r="AA1849" s="33">
        <v>32</v>
      </c>
      <c r="AB1849" s="5" t="s">
        <v>47</v>
      </c>
      <c r="AC1849" s="5" t="s">
        <v>96</v>
      </c>
      <c r="AD1849" s="5"/>
      <c r="AE1849" s="5" t="s">
        <v>49</v>
      </c>
      <c r="AF1849" s="5"/>
      <c r="AG1849" s="5"/>
      <c r="AH1849" s="5" t="s">
        <v>7666</v>
      </c>
    </row>
    <row r="1850" spans="2:34" ht="21" customHeight="1" outlineLevel="4" x14ac:dyDescent="0.2">
      <c r="B1850" s="42">
        <v>1438</v>
      </c>
      <c r="C1850" s="5" t="s">
        <v>7667</v>
      </c>
      <c r="D1850" s="5" t="s">
        <v>7668</v>
      </c>
      <c r="E1850" s="6" t="s">
        <v>7669</v>
      </c>
      <c r="F1850" s="10"/>
      <c r="G1850" s="11" t="s">
        <v>7670</v>
      </c>
      <c r="H1850" s="12">
        <v>25</v>
      </c>
      <c r="I1850" s="13" t="s">
        <v>41</v>
      </c>
      <c r="J1850" s="13"/>
      <c r="K1850" s="13"/>
      <c r="L1850" s="4">
        <v>5</v>
      </c>
      <c r="M1850" s="14">
        <f>137*(1-P3/100)</f>
        <v>137</v>
      </c>
      <c r="N1850" s="15"/>
      <c r="O1850" s="13">
        <f t="shared" si="80"/>
        <v>0</v>
      </c>
      <c r="P1850" s="22">
        <f>0.141*N1850</f>
        <v>0</v>
      </c>
      <c r="Q1850" s="23">
        <f>0.00053*N1850</f>
        <v>0</v>
      </c>
      <c r="R1850" s="24"/>
      <c r="S1850" s="25" t="s">
        <v>7671</v>
      </c>
      <c r="T1850" s="25" t="s">
        <v>43</v>
      </c>
      <c r="U1850" s="5"/>
      <c r="V1850" s="5" t="s">
        <v>7672</v>
      </c>
      <c r="W1850" s="5" t="s">
        <v>46</v>
      </c>
      <c r="X1850" s="5"/>
      <c r="Y1850" s="5"/>
      <c r="Z1850" s="5" t="str">
        <f>HYPERLINK("https://knigipp.ru/api/getInfo/image/aa5adbe7-66cf-11ef-a265-00155d82e908")</f>
        <v>https://knigipp.ru/api/getInfo/image/aa5adbe7-66cf-11ef-a265-00155d82e908</v>
      </c>
      <c r="AA1850" s="33">
        <v>32</v>
      </c>
      <c r="AB1850" s="5" t="s">
        <v>47</v>
      </c>
      <c r="AC1850" s="5" t="s">
        <v>96</v>
      </c>
      <c r="AD1850" s="5"/>
      <c r="AE1850" s="5" t="s">
        <v>49</v>
      </c>
      <c r="AF1850" s="5"/>
      <c r="AG1850" s="5"/>
      <c r="AH1850" s="5" t="s">
        <v>7666</v>
      </c>
    </row>
    <row r="1851" spans="2:34" ht="21" customHeight="1" outlineLevel="4" x14ac:dyDescent="0.2">
      <c r="B1851" s="42">
        <v>1439</v>
      </c>
      <c r="C1851" s="5" t="s">
        <v>7673</v>
      </c>
      <c r="D1851" s="5" t="s">
        <v>7674</v>
      </c>
      <c r="E1851" s="6" t="s">
        <v>7675</v>
      </c>
      <c r="F1851" s="10"/>
      <c r="G1851" s="11" t="s">
        <v>7676</v>
      </c>
      <c r="H1851" s="12">
        <v>25</v>
      </c>
      <c r="I1851" s="13" t="s">
        <v>41</v>
      </c>
      <c r="J1851" s="13"/>
      <c r="K1851" s="13"/>
      <c r="L1851" s="4">
        <v>5</v>
      </c>
      <c r="M1851" s="14">
        <f>137*(1-P3/100)</f>
        <v>137</v>
      </c>
      <c r="N1851" s="15"/>
      <c r="O1851" s="13">
        <f t="shared" si="80"/>
        <v>0</v>
      </c>
      <c r="P1851" s="22">
        <f>0.141*N1851</f>
        <v>0</v>
      </c>
      <c r="Q1851" s="22">
        <f>0.001*N1851</f>
        <v>0</v>
      </c>
      <c r="R1851" s="24"/>
      <c r="S1851" s="25" t="s">
        <v>7677</v>
      </c>
      <c r="T1851" s="25" t="s">
        <v>43</v>
      </c>
      <c r="U1851" s="5"/>
      <c r="V1851" s="5"/>
      <c r="W1851" s="5" t="s">
        <v>46</v>
      </c>
      <c r="X1851" s="5"/>
      <c r="Y1851" s="5"/>
      <c r="Z1851" s="5" t="str">
        <f>HYPERLINK("https://knigipp.ru/api/getInfo/image/f30ae2ea-7e2f-11ee-a248-00155d82e902")</f>
        <v>https://knigipp.ru/api/getInfo/image/f30ae2ea-7e2f-11ee-a248-00155d82e902</v>
      </c>
      <c r="AA1851" s="33">
        <v>32</v>
      </c>
      <c r="AB1851" s="5" t="s">
        <v>47</v>
      </c>
      <c r="AC1851" s="5" t="s">
        <v>96</v>
      </c>
      <c r="AD1851" s="5"/>
      <c r="AE1851" s="5" t="s">
        <v>49</v>
      </c>
      <c r="AF1851" s="5"/>
      <c r="AG1851" s="5"/>
      <c r="AH1851" s="5" t="s">
        <v>7666</v>
      </c>
    </row>
    <row r="1852" spans="2:34" ht="21" customHeight="1" outlineLevel="4" x14ac:dyDescent="0.2">
      <c r="B1852" s="42">
        <v>1440</v>
      </c>
      <c r="C1852" s="5" t="s">
        <v>7678</v>
      </c>
      <c r="D1852" s="5" t="s">
        <v>7679</v>
      </c>
      <c r="E1852" s="6" t="s">
        <v>7680</v>
      </c>
      <c r="F1852" s="10"/>
      <c r="G1852" s="11" t="s">
        <v>7681</v>
      </c>
      <c r="H1852" s="12">
        <v>25</v>
      </c>
      <c r="I1852" s="13" t="s">
        <v>41</v>
      </c>
      <c r="J1852" s="13"/>
      <c r="K1852" s="13"/>
      <c r="L1852" s="4">
        <v>5</v>
      </c>
      <c r="M1852" s="14">
        <f>137*(1-P3/100)</f>
        <v>137</v>
      </c>
      <c r="N1852" s="15"/>
      <c r="O1852" s="13">
        <f t="shared" si="80"/>
        <v>0</v>
      </c>
      <c r="P1852" s="22">
        <f>0.141*N1852</f>
        <v>0</v>
      </c>
      <c r="Q1852" s="30">
        <f>0.0003*N1852</f>
        <v>0</v>
      </c>
      <c r="R1852" s="24"/>
      <c r="S1852" s="25" t="s">
        <v>7682</v>
      </c>
      <c r="T1852" s="25" t="s">
        <v>43</v>
      </c>
      <c r="U1852" s="5"/>
      <c r="V1852" s="5"/>
      <c r="W1852" s="5" t="s">
        <v>46</v>
      </c>
      <c r="X1852" s="5"/>
      <c r="Y1852" s="5"/>
      <c r="Z1852" s="5" t="str">
        <f>HYPERLINK("https://knigipp.ru/api/getInfo/image/d60ce00f-7e2f-11ee-a248-00155d82e902")</f>
        <v>https://knigipp.ru/api/getInfo/image/d60ce00f-7e2f-11ee-a248-00155d82e902</v>
      </c>
      <c r="AA1852" s="33">
        <v>32</v>
      </c>
      <c r="AB1852" s="5" t="s">
        <v>47</v>
      </c>
      <c r="AC1852" s="5" t="s">
        <v>96</v>
      </c>
      <c r="AD1852" s="5"/>
      <c r="AE1852" s="5" t="s">
        <v>49</v>
      </c>
      <c r="AF1852" s="5"/>
      <c r="AG1852" s="5"/>
      <c r="AH1852" s="5" t="s">
        <v>7666</v>
      </c>
    </row>
    <row r="1853" spans="2:34" ht="21" customHeight="1" outlineLevel="4" x14ac:dyDescent="0.2">
      <c r="B1853" s="42">
        <v>1441</v>
      </c>
      <c r="C1853" s="5" t="s">
        <v>7683</v>
      </c>
      <c r="D1853" s="5" t="s">
        <v>7684</v>
      </c>
      <c r="E1853" s="6" t="s">
        <v>7685</v>
      </c>
      <c r="F1853" s="10"/>
      <c r="G1853" s="11" t="s">
        <v>7686</v>
      </c>
      <c r="H1853" s="12">
        <v>25</v>
      </c>
      <c r="I1853" s="13" t="s">
        <v>41</v>
      </c>
      <c r="J1853" s="13"/>
      <c r="K1853" s="13"/>
      <c r="L1853" s="4">
        <v>5</v>
      </c>
      <c r="M1853" s="14">
        <f>137*(1-P3/100)</f>
        <v>137</v>
      </c>
      <c r="N1853" s="15"/>
      <c r="O1853" s="13">
        <f t="shared" si="80"/>
        <v>0</v>
      </c>
      <c r="P1853" s="22">
        <f>0.145*N1853</f>
        <v>0</v>
      </c>
      <c r="Q1853" s="22">
        <f>0.001*N1853</f>
        <v>0</v>
      </c>
      <c r="R1853" s="24"/>
      <c r="S1853" s="25" t="s">
        <v>7687</v>
      </c>
      <c r="T1853" s="25" t="s">
        <v>43</v>
      </c>
      <c r="U1853" s="5"/>
      <c r="V1853" s="5" t="s">
        <v>7688</v>
      </c>
      <c r="W1853" s="5" t="s">
        <v>46</v>
      </c>
      <c r="X1853" s="5"/>
      <c r="Y1853" s="5"/>
      <c r="Z1853" s="5" t="str">
        <f>HYPERLINK("https://knigipp.ru/api/getInfo/image/d997fbff-66cf-11ef-a265-00155d82e908")</f>
        <v>https://knigipp.ru/api/getInfo/image/d997fbff-66cf-11ef-a265-00155d82e908</v>
      </c>
      <c r="AA1853" s="33">
        <v>32</v>
      </c>
      <c r="AB1853" s="5" t="s">
        <v>47</v>
      </c>
      <c r="AC1853" s="5" t="s">
        <v>96</v>
      </c>
      <c r="AD1853" s="5"/>
      <c r="AE1853" s="5" t="s">
        <v>49</v>
      </c>
      <c r="AF1853" s="5"/>
      <c r="AG1853" s="5"/>
      <c r="AH1853" s="5" t="s">
        <v>7666</v>
      </c>
    </row>
    <row r="1854" spans="2:34" ht="21" customHeight="1" outlineLevel="4" x14ac:dyDescent="0.2">
      <c r="B1854" s="42">
        <v>1442</v>
      </c>
      <c r="C1854" s="5" t="s">
        <v>7689</v>
      </c>
      <c r="D1854" s="5" t="s">
        <v>7690</v>
      </c>
      <c r="E1854" s="6" t="s">
        <v>7691</v>
      </c>
      <c r="F1854" s="10"/>
      <c r="G1854" s="11" t="s">
        <v>7692</v>
      </c>
      <c r="H1854" s="12">
        <v>25</v>
      </c>
      <c r="I1854" s="13" t="s">
        <v>41</v>
      </c>
      <c r="J1854" s="13"/>
      <c r="K1854" s="13"/>
      <c r="L1854" s="4">
        <v>5</v>
      </c>
      <c r="M1854" s="14">
        <f>137*(1-P3/100)</f>
        <v>137</v>
      </c>
      <c r="N1854" s="15"/>
      <c r="O1854" s="13">
        <f t="shared" si="80"/>
        <v>0</v>
      </c>
      <c r="P1854" s="22">
        <f>0.154*N1854</f>
        <v>0</v>
      </c>
      <c r="Q1854" s="23">
        <f>0.00053*N1854</f>
        <v>0</v>
      </c>
      <c r="R1854" s="24"/>
      <c r="S1854" s="25" t="s">
        <v>7693</v>
      </c>
      <c r="T1854" s="25" t="s">
        <v>43</v>
      </c>
      <c r="U1854" s="5"/>
      <c r="V1854" s="5" t="s">
        <v>7694</v>
      </c>
      <c r="W1854" s="5" t="s">
        <v>46</v>
      </c>
      <c r="X1854" s="5"/>
      <c r="Y1854" s="5"/>
      <c r="Z1854" s="5" t="str">
        <f>HYPERLINK("https://knigipp.ru/api/getInfo/image/0225fa73-66d0-11ef-a265-00155d82e908")</f>
        <v>https://knigipp.ru/api/getInfo/image/0225fa73-66d0-11ef-a265-00155d82e908</v>
      </c>
      <c r="AA1854" s="33">
        <v>32</v>
      </c>
      <c r="AB1854" s="5" t="s">
        <v>47</v>
      </c>
      <c r="AC1854" s="5" t="s">
        <v>96</v>
      </c>
      <c r="AD1854" s="5"/>
      <c r="AE1854" s="5" t="s">
        <v>49</v>
      </c>
      <c r="AF1854" s="5"/>
      <c r="AG1854" s="5"/>
      <c r="AH1854" s="5" t="s">
        <v>7666</v>
      </c>
    </row>
    <row r="1855" spans="2:34" ht="21" customHeight="1" outlineLevel="4" x14ac:dyDescent="0.2">
      <c r="B1855" s="42">
        <v>1443</v>
      </c>
      <c r="C1855" s="5" t="s">
        <v>7695</v>
      </c>
      <c r="D1855" s="5" t="s">
        <v>7696</v>
      </c>
      <c r="E1855" s="6" t="s">
        <v>7697</v>
      </c>
      <c r="F1855" s="10"/>
      <c r="G1855" s="11" t="s">
        <v>7663</v>
      </c>
      <c r="H1855" s="12">
        <v>25</v>
      </c>
      <c r="I1855" s="13" t="s">
        <v>41</v>
      </c>
      <c r="J1855" s="13"/>
      <c r="K1855" s="13"/>
      <c r="L1855" s="4">
        <v>5</v>
      </c>
      <c r="M1855" s="14">
        <f>137*(1-P3/100)</f>
        <v>137</v>
      </c>
      <c r="N1855" s="15"/>
      <c r="O1855" s="13">
        <f t="shared" si="80"/>
        <v>0</v>
      </c>
      <c r="P1855" s="22">
        <f>0.141*N1855</f>
        <v>0</v>
      </c>
      <c r="Q1855" s="23">
        <f>0.00045*N1855</f>
        <v>0</v>
      </c>
      <c r="R1855" s="24"/>
      <c r="S1855" s="25" t="s">
        <v>7698</v>
      </c>
      <c r="T1855" s="25" t="s">
        <v>43</v>
      </c>
      <c r="U1855" s="5"/>
      <c r="V1855" s="5"/>
      <c r="W1855" s="5" t="s">
        <v>46</v>
      </c>
      <c r="X1855" s="5"/>
      <c r="Y1855" s="5"/>
      <c r="Z1855" s="5" t="str">
        <f>HYPERLINK("https://knigipp.ru/api/getInfo/image/0f075d65-7e30-11ee-a248-00155d82e902")</f>
        <v>https://knigipp.ru/api/getInfo/image/0f075d65-7e30-11ee-a248-00155d82e902</v>
      </c>
      <c r="AA1855" s="33">
        <v>32</v>
      </c>
      <c r="AB1855" s="5" t="s">
        <v>47</v>
      </c>
      <c r="AC1855" s="5" t="s">
        <v>96</v>
      </c>
      <c r="AD1855" s="5"/>
      <c r="AE1855" s="5" t="s">
        <v>49</v>
      </c>
      <c r="AF1855" s="5"/>
      <c r="AG1855" s="5"/>
      <c r="AH1855" s="5" t="s">
        <v>7666</v>
      </c>
    </row>
    <row r="1856" spans="2:34" ht="21" customHeight="1" outlineLevel="4" x14ac:dyDescent="0.2">
      <c r="B1856" s="42">
        <v>1444</v>
      </c>
      <c r="C1856" s="5" t="s">
        <v>7699</v>
      </c>
      <c r="D1856" s="5" t="s">
        <v>7700</v>
      </c>
      <c r="E1856" s="6" t="s">
        <v>7701</v>
      </c>
      <c r="F1856" s="10"/>
      <c r="G1856" s="11" t="s">
        <v>7702</v>
      </c>
      <c r="H1856" s="12">
        <v>25</v>
      </c>
      <c r="I1856" s="13" t="s">
        <v>41</v>
      </c>
      <c r="J1856" s="13"/>
      <c r="K1856" s="13"/>
      <c r="L1856" s="4">
        <v>5</v>
      </c>
      <c r="M1856" s="14">
        <f>137*(1-P3/100)</f>
        <v>137</v>
      </c>
      <c r="N1856" s="15"/>
      <c r="O1856" s="13">
        <f t="shared" si="80"/>
        <v>0</v>
      </c>
      <c r="P1856" s="32">
        <f>3.18*N1856</f>
        <v>0</v>
      </c>
      <c r="Q1856" s="23">
        <f>0.00426*N1856</f>
        <v>0</v>
      </c>
      <c r="R1856" s="24"/>
      <c r="S1856" s="25" t="s">
        <v>7703</v>
      </c>
      <c r="T1856" s="25" t="s">
        <v>43</v>
      </c>
      <c r="U1856" s="5"/>
      <c r="V1856" s="5"/>
      <c r="W1856" s="5" t="s">
        <v>46</v>
      </c>
      <c r="X1856" s="5"/>
      <c r="Y1856" s="5"/>
      <c r="Z1856" s="5" t="str">
        <f>HYPERLINK("https://knigipp.ru/api/getInfo/image/a3b3cd86-7e2f-11ee-a248-00155d82e902")</f>
        <v>https://knigipp.ru/api/getInfo/image/a3b3cd86-7e2f-11ee-a248-00155d82e902</v>
      </c>
      <c r="AA1856" s="33">
        <v>32</v>
      </c>
      <c r="AB1856" s="5" t="s">
        <v>47</v>
      </c>
      <c r="AC1856" s="5" t="s">
        <v>96</v>
      </c>
      <c r="AD1856" s="5"/>
      <c r="AE1856" s="5" t="s">
        <v>49</v>
      </c>
      <c r="AF1856" s="5"/>
      <c r="AG1856" s="5"/>
      <c r="AH1856" s="5" t="s">
        <v>7666</v>
      </c>
    </row>
    <row r="1857" spans="2:35" ht="22.95" customHeight="1" outlineLevel="3" x14ac:dyDescent="0.2">
      <c r="B1857" s="74" t="s">
        <v>7704</v>
      </c>
      <c r="C1857" s="74"/>
      <c r="D1857" s="74"/>
    </row>
    <row r="1858" spans="2:35" ht="21" customHeight="1" outlineLevel="4" x14ac:dyDescent="0.2">
      <c r="B1858" s="42">
        <v>1445</v>
      </c>
      <c r="C1858" s="5" t="s">
        <v>7705</v>
      </c>
      <c r="D1858" s="5" t="s">
        <v>7706</v>
      </c>
      <c r="E1858" s="6" t="s">
        <v>7707</v>
      </c>
      <c r="F1858" s="10"/>
      <c r="G1858" s="11" t="s">
        <v>7708</v>
      </c>
      <c r="H1858" s="12">
        <v>30</v>
      </c>
      <c r="I1858" s="13" t="s">
        <v>371</v>
      </c>
      <c r="J1858" s="13"/>
      <c r="K1858" s="13"/>
      <c r="L1858" s="4">
        <v>4</v>
      </c>
      <c r="M1858" s="14">
        <f>177*(1-P3/100)</f>
        <v>177</v>
      </c>
      <c r="N1858" s="15"/>
      <c r="O1858" s="13">
        <f>M1858*N1858</f>
        <v>0</v>
      </c>
      <c r="P1858" s="22">
        <f>0.125*N1858</f>
        <v>0</v>
      </c>
      <c r="Q1858" s="23">
        <f>0.00028*N1858</f>
        <v>0</v>
      </c>
      <c r="R1858" s="24"/>
      <c r="S1858" s="25" t="s">
        <v>7709</v>
      </c>
      <c r="T1858" s="25" t="s">
        <v>43</v>
      </c>
      <c r="U1858" s="5"/>
      <c r="V1858" s="5" t="s">
        <v>7710</v>
      </c>
      <c r="W1858" s="5" t="s">
        <v>46</v>
      </c>
      <c r="X1858" s="5"/>
      <c r="Y1858" s="5"/>
      <c r="Z1858" s="5" t="str">
        <f>HYPERLINK("https://knigipp.ru/api/getInfo/image/0bf5940c-55a4-11f0-a27e-00155d82e908")</f>
        <v>https://knigipp.ru/api/getInfo/image/0bf5940c-55a4-11f0-a27e-00155d82e908</v>
      </c>
      <c r="AA1858" s="33">
        <v>48</v>
      </c>
      <c r="AB1858" s="5" t="s">
        <v>47</v>
      </c>
      <c r="AC1858" s="5" t="s">
        <v>48</v>
      </c>
      <c r="AD1858" s="5"/>
      <c r="AE1858" s="5" t="s">
        <v>49</v>
      </c>
      <c r="AF1858" s="5"/>
      <c r="AG1858" s="5"/>
      <c r="AH1858" s="5" t="s">
        <v>6707</v>
      </c>
    </row>
    <row r="1859" spans="2:35" ht="22.95" customHeight="1" outlineLevel="3" x14ac:dyDescent="0.2">
      <c r="B1859" s="74" t="s">
        <v>7711</v>
      </c>
      <c r="C1859" s="74"/>
      <c r="D1859" s="74"/>
    </row>
    <row r="1860" spans="2:35" ht="21" customHeight="1" outlineLevel="4" x14ac:dyDescent="0.2">
      <c r="B1860" s="42">
        <v>1446</v>
      </c>
      <c r="C1860" s="5" t="s">
        <v>7712</v>
      </c>
      <c r="D1860" s="5" t="s">
        <v>7713</v>
      </c>
      <c r="E1860" s="6" t="s">
        <v>7714</v>
      </c>
      <c r="F1860" s="10"/>
      <c r="G1860" s="11" t="s">
        <v>7715</v>
      </c>
      <c r="H1860" s="12">
        <v>50</v>
      </c>
      <c r="I1860" s="13" t="s">
        <v>261</v>
      </c>
      <c r="J1860" s="13"/>
      <c r="K1860" s="13"/>
      <c r="L1860" s="4">
        <v>20</v>
      </c>
      <c r="M1860" s="14">
        <f>35.91*(1-P3/100)</f>
        <v>35.909999999999997</v>
      </c>
      <c r="N1860" s="15"/>
      <c r="O1860" s="13">
        <f>M1860*N1860</f>
        <v>0</v>
      </c>
      <c r="P1860" s="22">
        <f>0.066*N1860</f>
        <v>0</v>
      </c>
      <c r="Q1860" s="23">
        <f>0.00017*N1860</f>
        <v>0</v>
      </c>
      <c r="R1860" s="24"/>
      <c r="S1860" s="25" t="s">
        <v>7716</v>
      </c>
      <c r="T1860" s="25" t="s">
        <v>43</v>
      </c>
      <c r="U1860" s="5"/>
      <c r="V1860" s="5"/>
      <c r="W1860" s="5" t="s">
        <v>46</v>
      </c>
      <c r="X1860" s="5" t="s">
        <v>7717</v>
      </c>
      <c r="Y1860" s="5"/>
      <c r="Z1860" s="5"/>
      <c r="AA1860" s="33">
        <v>16</v>
      </c>
      <c r="AB1860" s="5"/>
      <c r="AC1860" s="5" t="s">
        <v>96</v>
      </c>
      <c r="AD1860" s="5"/>
      <c r="AE1860" s="5" t="s">
        <v>49</v>
      </c>
      <c r="AF1860" s="5"/>
      <c r="AG1860" s="5" t="s">
        <v>7718</v>
      </c>
      <c r="AH1860" s="5" t="s">
        <v>7719</v>
      </c>
    </row>
    <row r="1861" spans="2:35" ht="21" customHeight="1" outlineLevel="4" x14ac:dyDescent="0.2">
      <c r="B1861" s="42">
        <v>1447</v>
      </c>
      <c r="C1861" s="5" t="s">
        <v>7720</v>
      </c>
      <c r="D1861" s="5" t="s">
        <v>7721</v>
      </c>
      <c r="E1861" s="6" t="s">
        <v>7722</v>
      </c>
      <c r="F1861" s="10"/>
      <c r="G1861" s="11" t="s">
        <v>7715</v>
      </c>
      <c r="H1861" s="12">
        <v>50</v>
      </c>
      <c r="I1861" s="13" t="s">
        <v>261</v>
      </c>
      <c r="J1861" s="13"/>
      <c r="K1861" s="13"/>
      <c r="L1861" s="4">
        <v>20</v>
      </c>
      <c r="M1861" s="14">
        <f>35.91*(1-P3/100)</f>
        <v>35.909999999999997</v>
      </c>
      <c r="N1861" s="15"/>
      <c r="O1861" s="13">
        <f>M1861*N1861</f>
        <v>0</v>
      </c>
      <c r="P1861" s="22">
        <f>0.066*N1861</f>
        <v>0</v>
      </c>
      <c r="Q1861" s="23">
        <f>0.00017*N1861</f>
        <v>0</v>
      </c>
      <c r="R1861" s="24"/>
      <c r="S1861" s="25" t="s">
        <v>7723</v>
      </c>
      <c r="T1861" s="25" t="s">
        <v>43</v>
      </c>
      <c r="U1861" s="5"/>
      <c r="V1861" s="5"/>
      <c r="W1861" s="5" t="s">
        <v>46</v>
      </c>
      <c r="X1861" s="5" t="s">
        <v>7717</v>
      </c>
      <c r="Y1861" s="5"/>
      <c r="Z1861" s="5"/>
      <c r="AA1861" s="33">
        <v>16</v>
      </c>
      <c r="AB1861" s="5"/>
      <c r="AC1861" s="5" t="s">
        <v>96</v>
      </c>
      <c r="AD1861" s="5"/>
      <c r="AE1861" s="5" t="s">
        <v>49</v>
      </c>
      <c r="AF1861" s="5"/>
      <c r="AG1861" s="5" t="s">
        <v>7718</v>
      </c>
      <c r="AH1861" s="5" t="s">
        <v>7719</v>
      </c>
    </row>
    <row r="1862" spans="2:35" ht="22.95" customHeight="1" outlineLevel="1" x14ac:dyDescent="0.2">
      <c r="B1862" s="72" t="s">
        <v>7724</v>
      </c>
      <c r="C1862" s="72"/>
      <c r="D1862" s="72"/>
    </row>
    <row r="1863" spans="2:35" ht="22.95" customHeight="1" outlineLevel="2" x14ac:dyDescent="0.2">
      <c r="B1863" s="73" t="s">
        <v>7725</v>
      </c>
      <c r="C1863" s="73"/>
      <c r="D1863" s="73"/>
    </row>
    <row r="1864" spans="2:35" ht="21" customHeight="1" outlineLevel="3" x14ac:dyDescent="0.2">
      <c r="B1864" s="43">
        <v>1448</v>
      </c>
      <c r="C1864" s="8" t="s">
        <v>7726</v>
      </c>
      <c r="D1864" s="8" t="s">
        <v>7727</v>
      </c>
      <c r="E1864" s="9" t="s">
        <v>7728</v>
      </c>
      <c r="F1864" s="16"/>
      <c r="G1864" s="17" t="s">
        <v>7729</v>
      </c>
      <c r="H1864" s="18">
        <v>20</v>
      </c>
      <c r="I1864" s="19" t="s">
        <v>41</v>
      </c>
      <c r="J1864" s="19"/>
      <c r="K1864" s="19"/>
      <c r="L1864" s="7">
        <v>2</v>
      </c>
      <c r="M1864" s="21">
        <f>447*(1-P3/100)</f>
        <v>447</v>
      </c>
      <c r="N1864" s="15"/>
      <c r="O1864" s="19">
        <f>M1864*N1864</f>
        <v>0</v>
      </c>
      <c r="P1864" s="26">
        <f>0.059*N1864</f>
        <v>0</v>
      </c>
      <c r="Q1864" s="27">
        <f>0.00035*N1864</f>
        <v>0</v>
      </c>
      <c r="R1864" s="28" t="s">
        <v>81</v>
      </c>
      <c r="S1864" s="29" t="s">
        <v>7730</v>
      </c>
      <c r="T1864" s="29" t="s">
        <v>43</v>
      </c>
      <c r="U1864" s="8" t="s">
        <v>128</v>
      </c>
      <c r="V1864" s="8"/>
      <c r="W1864" s="8" t="s">
        <v>46</v>
      </c>
      <c r="X1864" s="8"/>
      <c r="Y1864" s="8"/>
      <c r="Z1864" s="8" t="str">
        <f>HYPERLINK("https://knigipp.ru/api/getInfo/image/cad60480-6d48-11f0-a284-00155d82e908")</f>
        <v>https://knigipp.ru/api/getInfo/image/cad60480-6d48-11f0-a284-00155d82e908</v>
      </c>
      <c r="AA1864" s="34">
        <v>10</v>
      </c>
      <c r="AB1864" s="8"/>
      <c r="AC1864" s="8" t="s">
        <v>5296</v>
      </c>
      <c r="AD1864" s="8"/>
      <c r="AE1864" s="8" t="s">
        <v>49</v>
      </c>
      <c r="AF1864" s="8"/>
      <c r="AG1864" s="8"/>
      <c r="AH1864" s="8" t="s">
        <v>7731</v>
      </c>
      <c r="AI1864" s="55"/>
    </row>
    <row r="1865" spans="2:35" ht="21" customHeight="1" outlineLevel="3" x14ac:dyDescent="0.2">
      <c r="B1865" s="43">
        <v>1449</v>
      </c>
      <c r="C1865" s="8" t="s">
        <v>7732</v>
      </c>
      <c r="D1865" s="8" t="s">
        <v>7733</v>
      </c>
      <c r="E1865" s="9" t="s">
        <v>7734</v>
      </c>
      <c r="F1865" s="16"/>
      <c r="G1865" s="17" t="s">
        <v>7729</v>
      </c>
      <c r="H1865" s="18">
        <v>20</v>
      </c>
      <c r="I1865" s="19" t="s">
        <v>41</v>
      </c>
      <c r="J1865" s="19"/>
      <c r="K1865" s="19"/>
      <c r="L1865" s="7">
        <v>2</v>
      </c>
      <c r="M1865" s="21">
        <f>447*(1-P3/100)</f>
        <v>447</v>
      </c>
      <c r="N1865" s="15"/>
      <c r="O1865" s="19">
        <f>M1865*N1865</f>
        <v>0</v>
      </c>
      <c r="P1865" s="38">
        <f>0.06*N1865</f>
        <v>0</v>
      </c>
      <c r="Q1865" s="27">
        <f>0.00042*N1865</f>
        <v>0</v>
      </c>
      <c r="R1865" s="28" t="s">
        <v>81</v>
      </c>
      <c r="S1865" s="29" t="s">
        <v>7735</v>
      </c>
      <c r="T1865" s="29" t="s">
        <v>43</v>
      </c>
      <c r="U1865" s="8" t="s">
        <v>7736</v>
      </c>
      <c r="V1865" s="8"/>
      <c r="W1865" s="8" t="s">
        <v>46</v>
      </c>
      <c r="X1865" s="8"/>
      <c r="Y1865" s="8"/>
      <c r="Z1865" s="8" t="str">
        <f>HYPERLINK("https://knigipp.ru/api/getInfo/image/1ca9d2e0-6d49-11f0-a284-00155d82e908")</f>
        <v>https://knigipp.ru/api/getInfo/image/1ca9d2e0-6d49-11f0-a284-00155d82e908</v>
      </c>
      <c r="AA1865" s="34">
        <v>10</v>
      </c>
      <c r="AB1865" s="8"/>
      <c r="AC1865" s="8" t="s">
        <v>5296</v>
      </c>
      <c r="AD1865" s="8"/>
      <c r="AE1865" s="8" t="s">
        <v>49</v>
      </c>
      <c r="AF1865" s="8"/>
      <c r="AG1865" s="8"/>
      <c r="AH1865" s="8" t="s">
        <v>7731</v>
      </c>
      <c r="AI1865" s="55"/>
    </row>
    <row r="1866" spans="2:35" ht="21" customHeight="1" outlineLevel="3" x14ac:dyDescent="0.2">
      <c r="B1866" s="43">
        <v>1450</v>
      </c>
      <c r="C1866" s="8" t="s">
        <v>7737</v>
      </c>
      <c r="D1866" s="8" t="s">
        <v>7738</v>
      </c>
      <c r="E1866" s="9" t="s">
        <v>7739</v>
      </c>
      <c r="F1866" s="16"/>
      <c r="G1866" s="17" t="s">
        <v>7729</v>
      </c>
      <c r="H1866" s="18">
        <v>20</v>
      </c>
      <c r="I1866" s="19" t="s">
        <v>41</v>
      </c>
      <c r="J1866" s="19"/>
      <c r="K1866" s="19"/>
      <c r="L1866" s="7">
        <v>2</v>
      </c>
      <c r="M1866" s="21">
        <f>447*(1-P3/100)</f>
        <v>447</v>
      </c>
      <c r="N1866" s="15"/>
      <c r="O1866" s="19">
        <f>M1866*N1866</f>
        <v>0</v>
      </c>
      <c r="P1866" s="26">
        <f>0.062*N1866</f>
        <v>0</v>
      </c>
      <c r="Q1866" s="27">
        <f>0.00031*N1866</f>
        <v>0</v>
      </c>
      <c r="R1866" s="28" t="s">
        <v>81</v>
      </c>
      <c r="S1866" s="29" t="s">
        <v>7740</v>
      </c>
      <c r="T1866" s="29" t="s">
        <v>43</v>
      </c>
      <c r="U1866" s="8" t="s">
        <v>128</v>
      </c>
      <c r="V1866" s="8"/>
      <c r="W1866" s="8" t="s">
        <v>46</v>
      </c>
      <c r="X1866" s="8"/>
      <c r="Y1866" s="8"/>
      <c r="Z1866" s="8" t="str">
        <f>HYPERLINK("https://knigipp.ru/api/getInfo/image/5167bc4e-6d49-11f0-a284-00155d82e908")</f>
        <v>https://knigipp.ru/api/getInfo/image/5167bc4e-6d49-11f0-a284-00155d82e908</v>
      </c>
      <c r="AA1866" s="34">
        <v>10</v>
      </c>
      <c r="AB1866" s="8"/>
      <c r="AC1866" s="8" t="s">
        <v>5296</v>
      </c>
      <c r="AD1866" s="8"/>
      <c r="AE1866" s="8" t="s">
        <v>49</v>
      </c>
      <c r="AF1866" s="8"/>
      <c r="AG1866" s="8"/>
      <c r="AH1866" s="8" t="s">
        <v>7741</v>
      </c>
      <c r="AI1866" s="55"/>
    </row>
    <row r="1867" spans="2:35" ht="21" customHeight="1" outlineLevel="3" x14ac:dyDescent="0.2">
      <c r="B1867" s="43">
        <v>1451</v>
      </c>
      <c r="C1867" s="8" t="s">
        <v>7742</v>
      </c>
      <c r="D1867" s="8" t="s">
        <v>7743</v>
      </c>
      <c r="E1867" s="9" t="s">
        <v>7744</v>
      </c>
      <c r="F1867" s="16"/>
      <c r="G1867" s="17" t="s">
        <v>7729</v>
      </c>
      <c r="H1867" s="18">
        <v>20</v>
      </c>
      <c r="I1867" s="19" t="s">
        <v>41</v>
      </c>
      <c r="J1867" s="19"/>
      <c r="K1867" s="19"/>
      <c r="L1867" s="7">
        <v>2</v>
      </c>
      <c r="M1867" s="21">
        <f>447*(1-P3/100)</f>
        <v>447</v>
      </c>
      <c r="N1867" s="15"/>
      <c r="O1867" s="19">
        <f>M1867*N1867</f>
        <v>0</v>
      </c>
      <c r="P1867" s="26">
        <f>0.063*N1867</f>
        <v>0</v>
      </c>
      <c r="Q1867" s="27">
        <f>0.00045*N1867</f>
        <v>0</v>
      </c>
      <c r="R1867" s="28" t="s">
        <v>81</v>
      </c>
      <c r="S1867" s="29" t="s">
        <v>7745</v>
      </c>
      <c r="T1867" s="29" t="s">
        <v>43</v>
      </c>
      <c r="U1867" s="8" t="s">
        <v>128</v>
      </c>
      <c r="V1867" s="8"/>
      <c r="W1867" s="8" t="s">
        <v>46</v>
      </c>
      <c r="X1867" s="8"/>
      <c r="Y1867" s="8"/>
      <c r="Z1867" s="8" t="str">
        <f>HYPERLINK("https://knigipp.ru/api/getInfo/image/7d9ca98f-6d49-11f0-a284-00155d82e908")</f>
        <v>https://knigipp.ru/api/getInfo/image/7d9ca98f-6d49-11f0-a284-00155d82e908</v>
      </c>
      <c r="AA1867" s="34">
        <v>10</v>
      </c>
      <c r="AB1867" s="8"/>
      <c r="AC1867" s="8" t="s">
        <v>5296</v>
      </c>
      <c r="AD1867" s="8"/>
      <c r="AE1867" s="8" t="s">
        <v>49</v>
      </c>
      <c r="AF1867" s="8"/>
      <c r="AG1867" s="8"/>
      <c r="AH1867" s="8" t="s">
        <v>7731</v>
      </c>
      <c r="AI1867" s="55"/>
    </row>
    <row r="1868" spans="2:35" ht="22.95" customHeight="1" outlineLevel="2" x14ac:dyDescent="0.2">
      <c r="B1868" s="73" t="s">
        <v>7746</v>
      </c>
      <c r="C1868" s="73"/>
      <c r="D1868" s="73"/>
    </row>
    <row r="1869" spans="2:35" ht="21" customHeight="1" outlineLevel="3" x14ac:dyDescent="0.2">
      <c r="B1869" s="42">
        <v>1452</v>
      </c>
      <c r="C1869" s="5" t="s">
        <v>7747</v>
      </c>
      <c r="D1869" s="5" t="s">
        <v>7748</v>
      </c>
      <c r="E1869" s="6" t="s">
        <v>7749</v>
      </c>
      <c r="F1869" s="10"/>
      <c r="G1869" s="11" t="s">
        <v>7750</v>
      </c>
      <c r="H1869" s="12">
        <v>20</v>
      </c>
      <c r="I1869" s="13" t="s">
        <v>41</v>
      </c>
      <c r="J1869" s="13"/>
      <c r="K1869" s="13"/>
      <c r="L1869" s="4">
        <v>1</v>
      </c>
      <c r="M1869" s="14">
        <f>257*(1-P3/100)</f>
        <v>257</v>
      </c>
      <c r="N1869" s="15"/>
      <c r="O1869" s="13">
        <f t="shared" ref="O1869:O1878" si="81">M1869*N1869</f>
        <v>0</v>
      </c>
      <c r="P1869" s="32">
        <f>0.06*N1869</f>
        <v>0</v>
      </c>
      <c r="Q1869" s="23">
        <f>0.00033*N1869</f>
        <v>0</v>
      </c>
      <c r="R1869" s="24"/>
      <c r="S1869" s="25" t="s">
        <v>7751</v>
      </c>
      <c r="T1869" s="25" t="s">
        <v>43</v>
      </c>
      <c r="U1869" s="5"/>
      <c r="V1869" s="5" t="s">
        <v>7752</v>
      </c>
      <c r="W1869" s="5" t="s">
        <v>7753</v>
      </c>
      <c r="X1869" s="5"/>
      <c r="Y1869" s="5"/>
      <c r="Z1869" s="5" t="str">
        <f>HYPERLINK("https://knigipp.ru/api/getInfo/image/efc199f4-ed6a-11e8-a214-ac1f6b442184")</f>
        <v>https://knigipp.ru/api/getInfo/image/efc199f4-ed6a-11e8-a214-ac1f6b442184</v>
      </c>
      <c r="AA1869" s="33">
        <v>10</v>
      </c>
      <c r="AB1869" s="5"/>
      <c r="AC1869" s="5" t="s">
        <v>5296</v>
      </c>
      <c r="AD1869" s="5"/>
      <c r="AE1869" s="5" t="s">
        <v>49</v>
      </c>
      <c r="AF1869" s="5"/>
      <c r="AG1869" s="5" t="s">
        <v>7754</v>
      </c>
      <c r="AH1869" s="5" t="s">
        <v>7755</v>
      </c>
    </row>
    <row r="1870" spans="2:35" ht="21" customHeight="1" outlineLevel="3" x14ac:dyDescent="0.2">
      <c r="B1870" s="42">
        <v>1453</v>
      </c>
      <c r="C1870" s="5" t="s">
        <v>7756</v>
      </c>
      <c r="D1870" s="5" t="s">
        <v>7757</v>
      </c>
      <c r="E1870" s="6" t="s">
        <v>7758</v>
      </c>
      <c r="F1870" s="10"/>
      <c r="G1870" s="11" t="s">
        <v>7750</v>
      </c>
      <c r="H1870" s="12">
        <v>20</v>
      </c>
      <c r="I1870" s="13" t="s">
        <v>41</v>
      </c>
      <c r="J1870" s="13"/>
      <c r="K1870" s="13"/>
      <c r="L1870" s="4">
        <v>1</v>
      </c>
      <c r="M1870" s="14">
        <f>257*(1-P3/100)</f>
        <v>257</v>
      </c>
      <c r="N1870" s="15"/>
      <c r="O1870" s="13">
        <f t="shared" si="81"/>
        <v>0</v>
      </c>
      <c r="P1870" s="22">
        <f>0.058*N1870</f>
        <v>0</v>
      </c>
      <c r="Q1870" s="23">
        <f>0.00004*N1870</f>
        <v>0</v>
      </c>
      <c r="R1870" s="24"/>
      <c r="S1870" s="25" t="s">
        <v>7759</v>
      </c>
      <c r="T1870" s="25" t="s">
        <v>43</v>
      </c>
      <c r="U1870" s="5"/>
      <c r="V1870" s="5" t="s">
        <v>7760</v>
      </c>
      <c r="W1870" s="5" t="s">
        <v>7753</v>
      </c>
      <c r="X1870" s="5"/>
      <c r="Y1870" s="5"/>
      <c r="Z1870" s="5" t="str">
        <f>HYPERLINK("https://knigipp.ru/api/getInfo/image/fbb6efa0-ed6a-11e8-a214-ac1f6b442184")</f>
        <v>https://knigipp.ru/api/getInfo/image/fbb6efa0-ed6a-11e8-a214-ac1f6b442184</v>
      </c>
      <c r="AA1870" s="33">
        <v>10</v>
      </c>
      <c r="AB1870" s="5"/>
      <c r="AC1870" s="5" t="s">
        <v>5296</v>
      </c>
      <c r="AD1870" s="5"/>
      <c r="AE1870" s="5" t="s">
        <v>49</v>
      </c>
      <c r="AF1870" s="5"/>
      <c r="AG1870" s="5" t="s">
        <v>7754</v>
      </c>
      <c r="AH1870" s="5" t="s">
        <v>7755</v>
      </c>
    </row>
    <row r="1871" spans="2:35" ht="21" customHeight="1" outlineLevel="3" x14ac:dyDescent="0.2">
      <c r="B1871" s="42">
        <v>1454</v>
      </c>
      <c r="C1871" s="5" t="s">
        <v>7761</v>
      </c>
      <c r="D1871" s="5" t="s">
        <v>7762</v>
      </c>
      <c r="E1871" s="6" t="s">
        <v>7763</v>
      </c>
      <c r="F1871" s="10"/>
      <c r="G1871" s="11" t="s">
        <v>7764</v>
      </c>
      <c r="H1871" s="12">
        <v>20</v>
      </c>
      <c r="I1871" s="13" t="s">
        <v>41</v>
      </c>
      <c r="J1871" s="13"/>
      <c r="K1871" s="13"/>
      <c r="L1871" s="4">
        <v>1</v>
      </c>
      <c r="M1871" s="14">
        <f>257*(1-P3/100)</f>
        <v>257</v>
      </c>
      <c r="N1871" s="15"/>
      <c r="O1871" s="13">
        <f t="shared" si="81"/>
        <v>0</v>
      </c>
      <c r="P1871" s="22">
        <f>0.046*N1871</f>
        <v>0</v>
      </c>
      <c r="Q1871" s="23">
        <f>0.00028*N1871</f>
        <v>0</v>
      </c>
      <c r="R1871" s="24"/>
      <c r="S1871" s="25" t="s">
        <v>7765</v>
      </c>
      <c r="T1871" s="25" t="s">
        <v>43</v>
      </c>
      <c r="U1871" s="5"/>
      <c r="V1871" s="5" t="s">
        <v>7766</v>
      </c>
      <c r="W1871" s="5" t="s">
        <v>7753</v>
      </c>
      <c r="X1871" s="5"/>
      <c r="Y1871" s="5"/>
      <c r="Z1871" s="5" t="str">
        <f>HYPERLINK("https://knigipp.ru/api/getInfo/image/9776807e-0314-11eb-a255-ac1f6b442184")</f>
        <v>https://knigipp.ru/api/getInfo/image/9776807e-0314-11eb-a255-ac1f6b442184</v>
      </c>
      <c r="AA1871" s="33">
        <v>10</v>
      </c>
      <c r="AB1871" s="5"/>
      <c r="AC1871" s="5" t="s">
        <v>5296</v>
      </c>
      <c r="AD1871" s="5"/>
      <c r="AE1871" s="5" t="s">
        <v>49</v>
      </c>
      <c r="AF1871" s="5"/>
      <c r="AG1871" s="5" t="s">
        <v>7754</v>
      </c>
      <c r="AH1871" s="5" t="s">
        <v>7755</v>
      </c>
    </row>
    <row r="1872" spans="2:35" ht="21" customHeight="1" outlineLevel="3" x14ac:dyDescent="0.2">
      <c r="B1872" s="42">
        <v>1455</v>
      </c>
      <c r="C1872" s="5" t="s">
        <v>7767</v>
      </c>
      <c r="D1872" s="5" t="s">
        <v>7768</v>
      </c>
      <c r="E1872" s="6" t="s">
        <v>7769</v>
      </c>
      <c r="F1872" s="10"/>
      <c r="G1872" s="11" t="s">
        <v>7750</v>
      </c>
      <c r="H1872" s="12">
        <v>20</v>
      </c>
      <c r="I1872" s="13" t="s">
        <v>41</v>
      </c>
      <c r="J1872" s="13"/>
      <c r="K1872" s="13"/>
      <c r="L1872" s="4">
        <v>1</v>
      </c>
      <c r="M1872" s="14">
        <f>257*(1-P3/100)</f>
        <v>257</v>
      </c>
      <c r="N1872" s="15"/>
      <c r="O1872" s="13">
        <f t="shared" si="81"/>
        <v>0</v>
      </c>
      <c r="P1872" s="22">
        <f>0.058*N1872</f>
        <v>0</v>
      </c>
      <c r="Q1872" s="23">
        <f>0.00033*N1872</f>
        <v>0</v>
      </c>
      <c r="R1872" s="24"/>
      <c r="S1872" s="25" t="s">
        <v>7770</v>
      </c>
      <c r="T1872" s="25" t="s">
        <v>43</v>
      </c>
      <c r="U1872" s="5"/>
      <c r="V1872" s="5" t="s">
        <v>7771</v>
      </c>
      <c r="W1872" s="5" t="s">
        <v>7753</v>
      </c>
      <c r="X1872" s="5"/>
      <c r="Y1872" s="5"/>
      <c r="Z1872" s="5" t="str">
        <f>HYPERLINK("https://knigipp.ru/api/getInfo/image/71ee765a-0314-11eb-a255-ac1f6b442184")</f>
        <v>https://knigipp.ru/api/getInfo/image/71ee765a-0314-11eb-a255-ac1f6b442184</v>
      </c>
      <c r="AA1872" s="33">
        <v>10</v>
      </c>
      <c r="AB1872" s="5"/>
      <c r="AC1872" s="5" t="s">
        <v>5296</v>
      </c>
      <c r="AD1872" s="5"/>
      <c r="AE1872" s="5" t="s">
        <v>49</v>
      </c>
      <c r="AF1872" s="5"/>
      <c r="AG1872" s="5" t="s">
        <v>7754</v>
      </c>
      <c r="AH1872" s="5" t="s">
        <v>7755</v>
      </c>
    </row>
    <row r="1873" spans="2:35" ht="21" customHeight="1" outlineLevel="3" x14ac:dyDescent="0.2">
      <c r="B1873" s="42">
        <v>1456</v>
      </c>
      <c r="C1873" s="5" t="s">
        <v>7772</v>
      </c>
      <c r="D1873" s="5" t="s">
        <v>7773</v>
      </c>
      <c r="E1873" s="6" t="s">
        <v>7774</v>
      </c>
      <c r="F1873" s="10"/>
      <c r="G1873" s="11" t="s">
        <v>7775</v>
      </c>
      <c r="H1873" s="12">
        <v>20</v>
      </c>
      <c r="I1873" s="13" t="s">
        <v>41</v>
      </c>
      <c r="J1873" s="13"/>
      <c r="K1873" s="13"/>
      <c r="L1873" s="4">
        <v>1</v>
      </c>
      <c r="M1873" s="14">
        <f>257*(1-P3/100)</f>
        <v>257</v>
      </c>
      <c r="N1873" s="15"/>
      <c r="O1873" s="13">
        <f t="shared" si="81"/>
        <v>0</v>
      </c>
      <c r="P1873" s="22">
        <f>0.046*N1873</f>
        <v>0</v>
      </c>
      <c r="Q1873" s="23">
        <f>0.00028*N1873</f>
        <v>0</v>
      </c>
      <c r="R1873" s="24"/>
      <c r="S1873" s="25" t="s">
        <v>7776</v>
      </c>
      <c r="T1873" s="25" t="s">
        <v>43</v>
      </c>
      <c r="U1873" s="5"/>
      <c r="V1873" s="5" t="s">
        <v>7777</v>
      </c>
      <c r="W1873" s="5" t="s">
        <v>7753</v>
      </c>
      <c r="X1873" s="5"/>
      <c r="Y1873" s="5"/>
      <c r="Z1873" s="5" t="str">
        <f>HYPERLINK("https://knigipp.ru/api/getInfo/image/01ba7236-4435-11ea-a240-ac1f6b442184")</f>
        <v>https://knigipp.ru/api/getInfo/image/01ba7236-4435-11ea-a240-ac1f6b442184</v>
      </c>
      <c r="AA1873" s="33">
        <v>10</v>
      </c>
      <c r="AB1873" s="5"/>
      <c r="AC1873" s="5" t="s">
        <v>5296</v>
      </c>
      <c r="AD1873" s="5"/>
      <c r="AE1873" s="5" t="s">
        <v>49</v>
      </c>
      <c r="AF1873" s="5"/>
      <c r="AG1873" s="5" t="s">
        <v>7754</v>
      </c>
      <c r="AH1873" s="5" t="s">
        <v>7755</v>
      </c>
    </row>
    <row r="1874" spans="2:35" ht="21" customHeight="1" outlineLevel="3" x14ac:dyDescent="0.2">
      <c r="B1874" s="42">
        <v>1457</v>
      </c>
      <c r="C1874" s="5" t="s">
        <v>7778</v>
      </c>
      <c r="D1874" s="5" t="s">
        <v>7779</v>
      </c>
      <c r="E1874" s="6" t="s">
        <v>7780</v>
      </c>
      <c r="F1874" s="10"/>
      <c r="G1874" s="11" t="s">
        <v>7781</v>
      </c>
      <c r="H1874" s="12">
        <v>20</v>
      </c>
      <c r="I1874" s="13" t="s">
        <v>41</v>
      </c>
      <c r="J1874" s="13"/>
      <c r="K1874" s="13"/>
      <c r="L1874" s="4">
        <v>1</v>
      </c>
      <c r="M1874" s="14">
        <f>257*(1-P3/100)</f>
        <v>257</v>
      </c>
      <c r="N1874" s="15"/>
      <c r="O1874" s="13">
        <f t="shared" si="81"/>
        <v>0</v>
      </c>
      <c r="P1874" s="22">
        <f>0.063*N1874</f>
        <v>0</v>
      </c>
      <c r="Q1874" s="23">
        <f>0.00033*N1874</f>
        <v>0</v>
      </c>
      <c r="R1874" s="24"/>
      <c r="S1874" s="25" t="s">
        <v>7782</v>
      </c>
      <c r="T1874" s="25" t="s">
        <v>43</v>
      </c>
      <c r="U1874" s="5"/>
      <c r="V1874" s="5" t="s">
        <v>7783</v>
      </c>
      <c r="W1874" s="5" t="s">
        <v>46</v>
      </c>
      <c r="X1874" s="5"/>
      <c r="Y1874" s="5"/>
      <c r="Z1874" s="5" t="str">
        <f>HYPERLINK("https://knigipp.ru/api/getInfo/image/42742073-9c1b-11ea-a248-ac1f6b442184")</f>
        <v>https://knigipp.ru/api/getInfo/image/42742073-9c1b-11ea-a248-ac1f6b442184</v>
      </c>
      <c r="AA1874" s="33">
        <v>10</v>
      </c>
      <c r="AB1874" s="5"/>
      <c r="AC1874" s="5" t="s">
        <v>5296</v>
      </c>
      <c r="AD1874" s="5"/>
      <c r="AE1874" s="5" t="s">
        <v>49</v>
      </c>
      <c r="AF1874" s="5"/>
      <c r="AG1874" s="5" t="s">
        <v>7754</v>
      </c>
      <c r="AH1874" s="5" t="s">
        <v>7755</v>
      </c>
    </row>
    <row r="1875" spans="2:35" ht="21" customHeight="1" outlineLevel="3" x14ac:dyDescent="0.2">
      <c r="B1875" s="42">
        <v>1458</v>
      </c>
      <c r="C1875" s="5" t="s">
        <v>7784</v>
      </c>
      <c r="D1875" s="5" t="s">
        <v>7785</v>
      </c>
      <c r="E1875" s="6" t="s">
        <v>7786</v>
      </c>
      <c r="F1875" s="10"/>
      <c r="G1875" s="11" t="s">
        <v>7775</v>
      </c>
      <c r="H1875" s="12">
        <v>20</v>
      </c>
      <c r="I1875" s="13" t="s">
        <v>41</v>
      </c>
      <c r="J1875" s="13"/>
      <c r="K1875" s="13"/>
      <c r="L1875" s="4">
        <v>1</v>
      </c>
      <c r="M1875" s="14">
        <f>257*(1-P3/100)</f>
        <v>257</v>
      </c>
      <c r="N1875" s="15"/>
      <c r="O1875" s="13">
        <f t="shared" si="81"/>
        <v>0</v>
      </c>
      <c r="P1875" s="22">
        <f>0.063*N1875</f>
        <v>0</v>
      </c>
      <c r="Q1875" s="23">
        <f>0.00033*N1875</f>
        <v>0</v>
      </c>
      <c r="R1875" s="24"/>
      <c r="S1875" s="25" t="s">
        <v>7787</v>
      </c>
      <c r="T1875" s="25" t="s">
        <v>43</v>
      </c>
      <c r="U1875" s="5"/>
      <c r="V1875" s="5" t="s">
        <v>7788</v>
      </c>
      <c r="W1875" s="5" t="s">
        <v>7753</v>
      </c>
      <c r="X1875" s="5"/>
      <c r="Y1875" s="5"/>
      <c r="Z1875" s="5" t="str">
        <f>HYPERLINK("https://knigipp.ru/api/getInfo/image/ed4911f1-4434-11ea-a240-ac1f6b442184")</f>
        <v>https://knigipp.ru/api/getInfo/image/ed4911f1-4434-11ea-a240-ac1f6b442184</v>
      </c>
      <c r="AA1875" s="33">
        <v>10</v>
      </c>
      <c r="AB1875" s="5"/>
      <c r="AC1875" s="5" t="s">
        <v>5296</v>
      </c>
      <c r="AD1875" s="5"/>
      <c r="AE1875" s="5" t="s">
        <v>49</v>
      </c>
      <c r="AF1875" s="5"/>
      <c r="AG1875" s="5" t="s">
        <v>7754</v>
      </c>
      <c r="AH1875" s="5" t="s">
        <v>7755</v>
      </c>
    </row>
    <row r="1876" spans="2:35" ht="21" customHeight="1" outlineLevel="3" x14ac:dyDescent="0.2">
      <c r="B1876" s="42">
        <v>1459</v>
      </c>
      <c r="C1876" s="5" t="s">
        <v>7789</v>
      </c>
      <c r="D1876" s="5" t="s">
        <v>7790</v>
      </c>
      <c r="E1876" s="6" t="s">
        <v>7791</v>
      </c>
      <c r="F1876" s="10"/>
      <c r="G1876" s="11" t="s">
        <v>7781</v>
      </c>
      <c r="H1876" s="12">
        <v>20</v>
      </c>
      <c r="I1876" s="13" t="s">
        <v>41</v>
      </c>
      <c r="J1876" s="13"/>
      <c r="K1876" s="13"/>
      <c r="L1876" s="4">
        <v>1</v>
      </c>
      <c r="M1876" s="14">
        <f>257*(1-P3/100)</f>
        <v>257</v>
      </c>
      <c r="N1876" s="15"/>
      <c r="O1876" s="13">
        <f t="shared" si="81"/>
        <v>0</v>
      </c>
      <c r="P1876" s="22">
        <f>0.048*N1876</f>
        <v>0</v>
      </c>
      <c r="Q1876" s="23">
        <f>0.00043*N1876</f>
        <v>0</v>
      </c>
      <c r="R1876" s="24"/>
      <c r="S1876" s="25" t="s">
        <v>7792</v>
      </c>
      <c r="T1876" s="25" t="s">
        <v>43</v>
      </c>
      <c r="U1876" s="5"/>
      <c r="V1876" s="5" t="s">
        <v>7793</v>
      </c>
      <c r="W1876" s="5" t="s">
        <v>46</v>
      </c>
      <c r="X1876" s="5"/>
      <c r="Y1876" s="5"/>
      <c r="Z1876" s="5" t="str">
        <f>HYPERLINK("https://knigipp.ru/api/getInfo/image/2aa58e08-9c1b-11ea-a248-ac1f6b442184")</f>
        <v>https://knigipp.ru/api/getInfo/image/2aa58e08-9c1b-11ea-a248-ac1f6b442184</v>
      </c>
      <c r="AA1876" s="33">
        <v>10</v>
      </c>
      <c r="AB1876" s="5"/>
      <c r="AC1876" s="5" t="s">
        <v>5296</v>
      </c>
      <c r="AD1876" s="5"/>
      <c r="AE1876" s="5" t="s">
        <v>49</v>
      </c>
      <c r="AF1876" s="5"/>
      <c r="AG1876" s="5" t="s">
        <v>7754</v>
      </c>
      <c r="AH1876" s="5" t="s">
        <v>7755</v>
      </c>
    </row>
    <row r="1877" spans="2:35" ht="21" customHeight="1" outlineLevel="3" x14ac:dyDescent="0.2">
      <c r="B1877" s="42">
        <v>1460</v>
      </c>
      <c r="C1877" s="5" t="s">
        <v>7794</v>
      </c>
      <c r="D1877" s="5" t="s">
        <v>7795</v>
      </c>
      <c r="E1877" s="6" t="s">
        <v>7796</v>
      </c>
      <c r="F1877" s="10"/>
      <c r="G1877" s="11" t="s">
        <v>7750</v>
      </c>
      <c r="H1877" s="12">
        <v>20</v>
      </c>
      <c r="I1877" s="13" t="s">
        <v>41</v>
      </c>
      <c r="J1877" s="13"/>
      <c r="K1877" s="13"/>
      <c r="L1877" s="4">
        <v>1</v>
      </c>
      <c r="M1877" s="14">
        <f>257*(1-P3/100)</f>
        <v>257</v>
      </c>
      <c r="N1877" s="15"/>
      <c r="O1877" s="13">
        <f t="shared" si="81"/>
        <v>0</v>
      </c>
      <c r="P1877" s="22">
        <f>0.049*N1877</f>
        <v>0</v>
      </c>
      <c r="Q1877" s="23">
        <f>0.00038*N1877</f>
        <v>0</v>
      </c>
      <c r="R1877" s="24"/>
      <c r="S1877" s="25" t="s">
        <v>7797</v>
      </c>
      <c r="T1877" s="25" t="s">
        <v>43</v>
      </c>
      <c r="U1877" s="5"/>
      <c r="V1877" s="5" t="s">
        <v>7798</v>
      </c>
      <c r="W1877" s="5" t="s">
        <v>7753</v>
      </c>
      <c r="X1877" s="5"/>
      <c r="Y1877" s="5"/>
      <c r="Z1877" s="5" t="str">
        <f>HYPERLINK("https://knigipp.ru/api/getInfo/image/47ac79cf-ed6b-11e8-a214-ac1f6b442184")</f>
        <v>https://knigipp.ru/api/getInfo/image/47ac79cf-ed6b-11e8-a214-ac1f6b442184</v>
      </c>
      <c r="AA1877" s="33">
        <v>10</v>
      </c>
      <c r="AB1877" s="5"/>
      <c r="AC1877" s="5" t="s">
        <v>5296</v>
      </c>
      <c r="AD1877" s="5"/>
      <c r="AE1877" s="5" t="s">
        <v>49</v>
      </c>
      <c r="AF1877" s="5"/>
      <c r="AG1877" s="5" t="s">
        <v>7754</v>
      </c>
      <c r="AH1877" s="5" t="s">
        <v>7755</v>
      </c>
    </row>
    <row r="1878" spans="2:35" ht="21" customHeight="1" outlineLevel="3" x14ac:dyDescent="0.2">
      <c r="B1878" s="42">
        <v>1461</v>
      </c>
      <c r="C1878" s="5" t="s">
        <v>7799</v>
      </c>
      <c r="D1878" s="5" t="s">
        <v>7800</v>
      </c>
      <c r="E1878" s="6" t="s">
        <v>7801</v>
      </c>
      <c r="F1878" s="10"/>
      <c r="G1878" s="11" t="s">
        <v>7750</v>
      </c>
      <c r="H1878" s="12">
        <v>20</v>
      </c>
      <c r="I1878" s="13" t="s">
        <v>41</v>
      </c>
      <c r="J1878" s="13"/>
      <c r="K1878" s="13"/>
      <c r="L1878" s="4">
        <v>1</v>
      </c>
      <c r="M1878" s="14">
        <f>257*(1-P3/100)</f>
        <v>257</v>
      </c>
      <c r="N1878" s="15"/>
      <c r="O1878" s="13">
        <f t="shared" si="81"/>
        <v>0</v>
      </c>
      <c r="P1878" s="32">
        <f>0.05*N1878</f>
        <v>0</v>
      </c>
      <c r="Q1878" s="23">
        <f>0.00036*N1878</f>
        <v>0</v>
      </c>
      <c r="R1878" s="24"/>
      <c r="S1878" s="25" t="s">
        <v>7802</v>
      </c>
      <c r="T1878" s="25" t="s">
        <v>43</v>
      </c>
      <c r="U1878" s="5"/>
      <c r="V1878" s="5" t="s">
        <v>7803</v>
      </c>
      <c r="W1878" s="5" t="s">
        <v>7753</v>
      </c>
      <c r="X1878" s="5"/>
      <c r="Y1878" s="5"/>
      <c r="Z1878" s="5" t="str">
        <f>HYPERLINK("https://knigipp.ru/api/getInfo/image/b720af0b-0314-11eb-a255-ac1f6b442184")</f>
        <v>https://knigipp.ru/api/getInfo/image/b720af0b-0314-11eb-a255-ac1f6b442184</v>
      </c>
      <c r="AA1878" s="33">
        <v>10</v>
      </c>
      <c r="AB1878" s="5"/>
      <c r="AC1878" s="5" t="s">
        <v>5296</v>
      </c>
      <c r="AD1878" s="5"/>
      <c r="AE1878" s="5" t="s">
        <v>49</v>
      </c>
      <c r="AF1878" s="5"/>
      <c r="AG1878" s="5" t="s">
        <v>7754</v>
      </c>
      <c r="AH1878" s="5" t="s">
        <v>7755</v>
      </c>
    </row>
    <row r="1879" spans="2:35" ht="22.95" customHeight="1" outlineLevel="1" x14ac:dyDescent="0.2">
      <c r="B1879" s="72" t="s">
        <v>7804</v>
      </c>
      <c r="C1879" s="72"/>
      <c r="D1879" s="72"/>
    </row>
    <row r="1880" spans="2:35" ht="22.95" customHeight="1" outlineLevel="2" x14ac:dyDescent="0.2">
      <c r="B1880" s="73" t="s">
        <v>7805</v>
      </c>
      <c r="C1880" s="73"/>
      <c r="D1880" s="73"/>
    </row>
    <row r="1881" spans="2:35" ht="21" customHeight="1" outlineLevel="3" x14ac:dyDescent="0.2">
      <c r="B1881" s="42">
        <v>1462</v>
      </c>
      <c r="C1881" s="5" t="s">
        <v>7806</v>
      </c>
      <c r="D1881" s="5" t="s">
        <v>7807</v>
      </c>
      <c r="E1881" s="6" t="s">
        <v>7808</v>
      </c>
      <c r="F1881" s="10"/>
      <c r="G1881" s="11" t="s">
        <v>7809</v>
      </c>
      <c r="H1881" s="12">
        <v>1</v>
      </c>
      <c r="I1881" s="13" t="s">
        <v>371</v>
      </c>
      <c r="J1881" s="13"/>
      <c r="K1881" s="13"/>
      <c r="L1881" s="4">
        <v>1</v>
      </c>
      <c r="M1881" s="14">
        <f>899*(1-P3/100)</f>
        <v>899</v>
      </c>
      <c r="N1881" s="15"/>
      <c r="O1881" s="13">
        <f>M1881*N1881</f>
        <v>0</v>
      </c>
      <c r="P1881" s="32">
        <f>1.17*N1881</f>
        <v>0</v>
      </c>
      <c r="Q1881" s="23">
        <f>0.00442*N1881</f>
        <v>0</v>
      </c>
      <c r="R1881" s="24"/>
      <c r="S1881" s="25" t="s">
        <v>7810</v>
      </c>
      <c r="T1881" s="25" t="s">
        <v>43</v>
      </c>
      <c r="U1881" s="5"/>
      <c r="V1881" s="5" t="s">
        <v>7811</v>
      </c>
      <c r="W1881" s="5" t="s">
        <v>4985</v>
      </c>
      <c r="X1881" s="5" t="s">
        <v>3996</v>
      </c>
      <c r="Y1881" s="5"/>
      <c r="Z1881" s="5" t="str">
        <f>HYPERLINK("https://knigipp.ru/api/getInfo/image/ecc90b43-1f53-11ef-a25f-00155d82e908")</f>
        <v>https://knigipp.ru/api/getInfo/image/ecc90b43-1f53-11ef-a25f-00155d82e908</v>
      </c>
      <c r="AA1881" s="5"/>
      <c r="AB1881" s="5"/>
      <c r="AC1881" s="5" t="s">
        <v>7812</v>
      </c>
      <c r="AD1881" s="5"/>
      <c r="AE1881" s="5" t="s">
        <v>7813</v>
      </c>
      <c r="AF1881" s="5"/>
      <c r="AG1881" s="5"/>
      <c r="AH1881" s="5" t="s">
        <v>7814</v>
      </c>
    </row>
    <row r="1882" spans="2:35" ht="21" customHeight="1" outlineLevel="3" x14ac:dyDescent="0.2">
      <c r="B1882" s="42">
        <v>1463</v>
      </c>
      <c r="C1882" s="5" t="s">
        <v>7815</v>
      </c>
      <c r="D1882" s="5" t="s">
        <v>7816</v>
      </c>
      <c r="E1882" s="6" t="s">
        <v>7817</v>
      </c>
      <c r="F1882" s="10"/>
      <c r="G1882" s="11" t="s">
        <v>7818</v>
      </c>
      <c r="H1882" s="12">
        <v>1</v>
      </c>
      <c r="I1882" s="13" t="s">
        <v>41</v>
      </c>
      <c r="J1882" s="13"/>
      <c r="K1882" s="13"/>
      <c r="L1882" s="4">
        <v>1</v>
      </c>
      <c r="M1882" s="14">
        <f>899*(1-P3/100)</f>
        <v>899</v>
      </c>
      <c r="N1882" s="15"/>
      <c r="O1882" s="13">
        <f>M1882*N1882</f>
        <v>0</v>
      </c>
      <c r="P1882" s="22">
        <f>0.742*N1882</f>
        <v>0</v>
      </c>
      <c r="Q1882" s="23">
        <f>0.00478*N1882</f>
        <v>0</v>
      </c>
      <c r="R1882" s="24"/>
      <c r="S1882" s="25" t="s">
        <v>7819</v>
      </c>
      <c r="T1882" s="25" t="s">
        <v>43</v>
      </c>
      <c r="U1882" s="5"/>
      <c r="V1882" s="5" t="s">
        <v>7820</v>
      </c>
      <c r="W1882" s="5" t="s">
        <v>4985</v>
      </c>
      <c r="X1882" s="5" t="s">
        <v>3050</v>
      </c>
      <c r="Y1882" s="5"/>
      <c r="Z1882" s="5" t="str">
        <f>HYPERLINK("https://knigipp.ru/api/getInfo/image/00734cda-2a47-11ef-a261-00155d82e908")</f>
        <v>https://knigipp.ru/api/getInfo/image/00734cda-2a47-11ef-a261-00155d82e908</v>
      </c>
      <c r="AA1882" s="5"/>
      <c r="AB1882" s="5"/>
      <c r="AC1882" s="5" t="s">
        <v>7812</v>
      </c>
      <c r="AD1882" s="5"/>
      <c r="AE1882" s="5" t="s">
        <v>7813</v>
      </c>
      <c r="AF1882" s="5"/>
      <c r="AG1882" s="5"/>
      <c r="AH1882" s="5" t="s">
        <v>7814</v>
      </c>
    </row>
    <row r="1883" spans="2:35" ht="22.95" customHeight="1" outlineLevel="1" x14ac:dyDescent="0.2">
      <c r="B1883" s="72" t="s">
        <v>7821</v>
      </c>
      <c r="C1883" s="72"/>
      <c r="D1883" s="72"/>
    </row>
    <row r="1884" spans="2:35" ht="22.95" customHeight="1" outlineLevel="2" x14ac:dyDescent="0.2">
      <c r="B1884" s="73" t="s">
        <v>7822</v>
      </c>
      <c r="C1884" s="73"/>
      <c r="D1884" s="73"/>
    </row>
    <row r="1885" spans="2:35" ht="21" customHeight="1" outlineLevel="3" x14ac:dyDescent="0.2">
      <c r="B1885" s="43">
        <v>1464</v>
      </c>
      <c r="C1885" s="8" t="s">
        <v>7823</v>
      </c>
      <c r="D1885" s="8" t="s">
        <v>7824</v>
      </c>
      <c r="E1885" s="9" t="s">
        <v>7825</v>
      </c>
      <c r="F1885" s="16"/>
      <c r="G1885" s="17" t="s">
        <v>7826</v>
      </c>
      <c r="H1885" s="18">
        <v>10</v>
      </c>
      <c r="I1885" s="19" t="s">
        <v>41</v>
      </c>
      <c r="J1885" s="19"/>
      <c r="K1885" s="19"/>
      <c r="L1885" s="7">
        <v>1</v>
      </c>
      <c r="M1885" s="21">
        <f>577*(1-P3/100)</f>
        <v>577</v>
      </c>
      <c r="N1885" s="15"/>
      <c r="O1885" s="19">
        <f t="shared" ref="O1885:O1899" si="82">M1885*N1885</f>
        <v>0</v>
      </c>
      <c r="P1885" s="26">
        <f>0.263*N1885</f>
        <v>0</v>
      </c>
      <c r="Q1885" s="27">
        <f>0.00055*N1885</f>
        <v>0</v>
      </c>
      <c r="R1885" s="28" t="s">
        <v>81</v>
      </c>
      <c r="S1885" s="29" t="s">
        <v>7827</v>
      </c>
      <c r="T1885" s="29" t="s">
        <v>43</v>
      </c>
      <c r="U1885" s="8" t="s">
        <v>7828</v>
      </c>
      <c r="V1885" s="8" t="s">
        <v>7829</v>
      </c>
      <c r="W1885" s="8" t="s">
        <v>46</v>
      </c>
      <c r="X1885" s="8"/>
      <c r="Y1885" s="8"/>
      <c r="Z1885" s="8" t="str">
        <f>HYPERLINK("https://knigipp.ru/api/getInfo/image/e2bc0b45-e573-11f0-a28c-00155d82e908")</f>
        <v>https://knigipp.ru/api/getInfo/image/e2bc0b45-e573-11f0-a28c-00155d82e908</v>
      </c>
      <c r="AA1885" s="34">
        <v>48</v>
      </c>
      <c r="AB1885" s="8"/>
      <c r="AC1885" s="8" t="s">
        <v>86</v>
      </c>
      <c r="AD1885" s="8"/>
      <c r="AE1885" s="8" t="s">
        <v>49</v>
      </c>
      <c r="AF1885" s="8"/>
      <c r="AG1885" s="8"/>
      <c r="AH1885" s="8" t="s">
        <v>7830</v>
      </c>
      <c r="AI1885" s="55"/>
    </row>
    <row r="1886" spans="2:35" ht="21" customHeight="1" outlineLevel="3" x14ac:dyDescent="0.2">
      <c r="B1886" s="42">
        <v>1465</v>
      </c>
      <c r="C1886" s="5" t="s">
        <v>7831</v>
      </c>
      <c r="D1886" s="5" t="s">
        <v>7832</v>
      </c>
      <c r="E1886" s="6" t="s">
        <v>7833</v>
      </c>
      <c r="F1886" s="10"/>
      <c r="G1886" s="11" t="s">
        <v>7834</v>
      </c>
      <c r="H1886" s="12">
        <v>12</v>
      </c>
      <c r="I1886" s="13" t="s">
        <v>41</v>
      </c>
      <c r="J1886" s="13"/>
      <c r="K1886" s="13"/>
      <c r="L1886" s="4">
        <v>2</v>
      </c>
      <c r="M1886" s="14">
        <f>487*(1-P3/100)</f>
        <v>487</v>
      </c>
      <c r="N1886" s="15"/>
      <c r="O1886" s="13">
        <f t="shared" si="82"/>
        <v>0</v>
      </c>
      <c r="P1886" s="22">
        <f>0.255*N1886</f>
        <v>0</v>
      </c>
      <c r="Q1886" s="23">
        <f>0.00049*N1886</f>
        <v>0</v>
      </c>
      <c r="R1886" s="24"/>
      <c r="S1886" s="25" t="s">
        <v>7835</v>
      </c>
      <c r="T1886" s="25" t="s">
        <v>43</v>
      </c>
      <c r="U1886" s="5" t="s">
        <v>7836</v>
      </c>
      <c r="V1886" s="5" t="s">
        <v>7837</v>
      </c>
      <c r="W1886" s="5" t="s">
        <v>46</v>
      </c>
      <c r="X1886" s="5"/>
      <c r="Y1886" s="5"/>
      <c r="Z1886" s="5" t="str">
        <f>HYPERLINK("https://knigipp.ru/api/getInfo/image/b4c0a955-ae56-11ef-a267-00155d82e908")</f>
        <v>https://knigipp.ru/api/getInfo/image/b4c0a955-ae56-11ef-a267-00155d82e908</v>
      </c>
      <c r="AA1886" s="33">
        <v>48</v>
      </c>
      <c r="AB1886" s="5" t="s">
        <v>598</v>
      </c>
      <c r="AC1886" s="5" t="s">
        <v>86</v>
      </c>
      <c r="AD1886" s="5"/>
      <c r="AE1886" s="5" t="s">
        <v>49</v>
      </c>
      <c r="AF1886" s="5"/>
      <c r="AG1886" s="5"/>
      <c r="AH1886" s="5" t="s">
        <v>521</v>
      </c>
    </row>
    <row r="1887" spans="2:35" ht="21" customHeight="1" outlineLevel="3" x14ac:dyDescent="0.2">
      <c r="B1887" s="42">
        <v>1466</v>
      </c>
      <c r="C1887" s="5" t="s">
        <v>7838</v>
      </c>
      <c r="D1887" s="5" t="s">
        <v>7839</v>
      </c>
      <c r="E1887" s="6" t="s">
        <v>7840</v>
      </c>
      <c r="F1887" s="10"/>
      <c r="G1887" s="11" t="s">
        <v>7841</v>
      </c>
      <c r="H1887" s="12">
        <v>20</v>
      </c>
      <c r="I1887" s="13" t="s">
        <v>41</v>
      </c>
      <c r="J1887" s="13"/>
      <c r="K1887" s="13"/>
      <c r="L1887" s="4">
        <v>2</v>
      </c>
      <c r="M1887" s="14">
        <f>299*(1-P3/100)</f>
        <v>299</v>
      </c>
      <c r="N1887" s="15"/>
      <c r="O1887" s="13">
        <f t="shared" si="82"/>
        <v>0</v>
      </c>
      <c r="P1887" s="22">
        <f>0.178*N1887</f>
        <v>0</v>
      </c>
      <c r="Q1887" s="30">
        <f>0.0004*N1887</f>
        <v>0</v>
      </c>
      <c r="R1887" s="24"/>
      <c r="S1887" s="25" t="s">
        <v>7842</v>
      </c>
      <c r="T1887" s="25" t="s">
        <v>43</v>
      </c>
      <c r="U1887" s="5" t="s">
        <v>157</v>
      </c>
      <c r="V1887" s="5"/>
      <c r="W1887" s="5" t="s">
        <v>46</v>
      </c>
      <c r="X1887" s="5"/>
      <c r="Y1887" s="5"/>
      <c r="Z1887" s="5" t="str">
        <f>HYPERLINK("https://knigipp.ru/api/getInfo/image/c6c13805-6237-11eb-a26d-ac1f6b442184")</f>
        <v>https://knigipp.ru/api/getInfo/image/c6c13805-6237-11eb-a26d-ac1f6b442184</v>
      </c>
      <c r="AA1887" s="33">
        <v>24</v>
      </c>
      <c r="AB1887" s="5"/>
      <c r="AC1887" s="5" t="s">
        <v>86</v>
      </c>
      <c r="AD1887" s="5"/>
      <c r="AE1887" s="5" t="s">
        <v>49</v>
      </c>
      <c r="AF1887" s="5"/>
      <c r="AG1887" s="5"/>
      <c r="AH1887" s="5" t="s">
        <v>7843</v>
      </c>
    </row>
    <row r="1888" spans="2:35" ht="21" customHeight="1" outlineLevel="3" x14ac:dyDescent="0.2">
      <c r="B1888" s="42">
        <v>1467</v>
      </c>
      <c r="C1888" s="5" t="s">
        <v>7844</v>
      </c>
      <c r="D1888" s="5" t="s">
        <v>7845</v>
      </c>
      <c r="E1888" s="6" t="s">
        <v>7846</v>
      </c>
      <c r="F1888" s="10"/>
      <c r="G1888" s="11" t="s">
        <v>7847</v>
      </c>
      <c r="H1888" s="12">
        <v>10</v>
      </c>
      <c r="I1888" s="13" t="s">
        <v>371</v>
      </c>
      <c r="J1888" s="13"/>
      <c r="K1888" s="13"/>
      <c r="L1888" s="4">
        <v>2</v>
      </c>
      <c r="M1888" s="14">
        <f>349*(1-P3/100)</f>
        <v>349</v>
      </c>
      <c r="N1888" s="15"/>
      <c r="O1888" s="13">
        <f t="shared" si="82"/>
        <v>0</v>
      </c>
      <c r="P1888" s="22">
        <f>0.343*N1888</f>
        <v>0</v>
      </c>
      <c r="Q1888" s="23">
        <f>0.00026*N1888</f>
        <v>0</v>
      </c>
      <c r="R1888" s="24"/>
      <c r="S1888" s="25" t="s">
        <v>7848</v>
      </c>
      <c r="T1888" s="25" t="s">
        <v>43</v>
      </c>
      <c r="U1888" s="5" t="s">
        <v>7849</v>
      </c>
      <c r="V1888" s="5" t="s">
        <v>7850</v>
      </c>
      <c r="W1888" s="5" t="s">
        <v>46</v>
      </c>
      <c r="X1888" s="5"/>
      <c r="Y1888" s="5"/>
      <c r="Z1888" s="5" t="str">
        <f>HYPERLINK("https://knigipp.ru/api/getInfo/image/57796e8a-e1aa-11ec-a213-ac1f6b442185")</f>
        <v>https://knigipp.ru/api/getInfo/image/57796e8a-e1aa-11ec-a213-ac1f6b442185</v>
      </c>
      <c r="AA1888" s="33">
        <v>32</v>
      </c>
      <c r="AB1888" s="5" t="s">
        <v>47</v>
      </c>
      <c r="AC1888" s="5" t="s">
        <v>86</v>
      </c>
      <c r="AD1888" s="5"/>
      <c r="AE1888" s="5" t="s">
        <v>49</v>
      </c>
      <c r="AF1888" s="5"/>
      <c r="AG1888" s="5"/>
      <c r="AH1888" s="5" t="s">
        <v>507</v>
      </c>
    </row>
    <row r="1889" spans="2:35" ht="21" customHeight="1" outlineLevel="3" x14ac:dyDescent="0.2">
      <c r="B1889" s="42">
        <v>1468</v>
      </c>
      <c r="C1889" s="5" t="s">
        <v>7851</v>
      </c>
      <c r="D1889" s="5" t="s">
        <v>7852</v>
      </c>
      <c r="E1889" s="6" t="s">
        <v>7853</v>
      </c>
      <c r="F1889" s="10"/>
      <c r="G1889" s="11" t="s">
        <v>7854</v>
      </c>
      <c r="H1889" s="12">
        <v>12</v>
      </c>
      <c r="I1889" s="13" t="s">
        <v>371</v>
      </c>
      <c r="J1889" s="13"/>
      <c r="K1889" s="13"/>
      <c r="L1889" s="4">
        <v>2</v>
      </c>
      <c r="M1889" s="14">
        <f>456.8*(1-P3/100)</f>
        <v>456.8</v>
      </c>
      <c r="N1889" s="15"/>
      <c r="O1889" s="13">
        <f t="shared" si="82"/>
        <v>0</v>
      </c>
      <c r="P1889" s="22">
        <f>0.241*N1889</f>
        <v>0</v>
      </c>
      <c r="Q1889" s="23">
        <f>0.00043*N1889</f>
        <v>0</v>
      </c>
      <c r="R1889" s="24"/>
      <c r="S1889" s="25" t="s">
        <v>7855</v>
      </c>
      <c r="T1889" s="25" t="s">
        <v>43</v>
      </c>
      <c r="U1889" s="5" t="s">
        <v>7849</v>
      </c>
      <c r="V1889" s="5" t="s">
        <v>7856</v>
      </c>
      <c r="W1889" s="5" t="s">
        <v>46</v>
      </c>
      <c r="X1889" s="5"/>
      <c r="Y1889" s="5"/>
      <c r="Z1889" s="5" t="str">
        <f>HYPERLINK("https://knigipp.ru/api/getInfo/image/4c561f47-c3b3-11eb-a206-ac1f6b442185")</f>
        <v>https://knigipp.ru/api/getInfo/image/4c561f47-c3b3-11eb-a206-ac1f6b442185</v>
      </c>
      <c r="AA1889" s="33">
        <v>32</v>
      </c>
      <c r="AB1889" s="5"/>
      <c r="AC1889" s="5" t="s">
        <v>86</v>
      </c>
      <c r="AD1889" s="5"/>
      <c r="AE1889" s="5" t="s">
        <v>49</v>
      </c>
      <c r="AF1889" s="5"/>
      <c r="AG1889" s="5"/>
      <c r="AH1889" s="5" t="s">
        <v>7857</v>
      </c>
    </row>
    <row r="1890" spans="2:35" ht="21" customHeight="1" outlineLevel="3" x14ac:dyDescent="0.2">
      <c r="B1890" s="42">
        <v>1469</v>
      </c>
      <c r="C1890" s="5" t="s">
        <v>7858</v>
      </c>
      <c r="D1890" s="5" t="s">
        <v>7859</v>
      </c>
      <c r="E1890" s="6" t="s">
        <v>7860</v>
      </c>
      <c r="F1890" s="10"/>
      <c r="G1890" s="11" t="s">
        <v>7861</v>
      </c>
      <c r="H1890" s="12">
        <v>12</v>
      </c>
      <c r="I1890" s="13" t="s">
        <v>41</v>
      </c>
      <c r="J1890" s="13"/>
      <c r="K1890" s="13"/>
      <c r="L1890" s="4">
        <v>2</v>
      </c>
      <c r="M1890" s="14">
        <f>487*(1-P3/100)</f>
        <v>487</v>
      </c>
      <c r="N1890" s="15"/>
      <c r="O1890" s="13">
        <f t="shared" si="82"/>
        <v>0</v>
      </c>
      <c r="P1890" s="22">
        <f>0.253*N1890</f>
        <v>0</v>
      </c>
      <c r="Q1890" s="23">
        <f>0.00035*N1890</f>
        <v>0</v>
      </c>
      <c r="R1890" s="24"/>
      <c r="S1890" s="25" t="s">
        <v>7862</v>
      </c>
      <c r="T1890" s="25" t="s">
        <v>43</v>
      </c>
      <c r="U1890" s="5" t="s">
        <v>7863</v>
      </c>
      <c r="V1890" s="5" t="s">
        <v>7864</v>
      </c>
      <c r="W1890" s="5" t="s">
        <v>46</v>
      </c>
      <c r="X1890" s="5" t="s">
        <v>1048</v>
      </c>
      <c r="Y1890" s="5"/>
      <c r="Z1890" s="5" t="str">
        <f>HYPERLINK("https://knigipp.ru/api/getInfo/image/d05d6296-6146-11ef-a264-00155d82e908")</f>
        <v>https://knigipp.ru/api/getInfo/image/d05d6296-6146-11ef-a264-00155d82e908</v>
      </c>
      <c r="AA1890" s="33">
        <v>48</v>
      </c>
      <c r="AB1890" s="5" t="s">
        <v>1768</v>
      </c>
      <c r="AC1890" s="5" t="s">
        <v>86</v>
      </c>
      <c r="AD1890" s="5"/>
      <c r="AE1890" s="5" t="s">
        <v>49</v>
      </c>
      <c r="AF1890" s="5"/>
      <c r="AG1890" s="5"/>
      <c r="AH1890" s="5" t="s">
        <v>7865</v>
      </c>
    </row>
    <row r="1891" spans="2:35" ht="21" customHeight="1" outlineLevel="3" x14ac:dyDescent="0.2">
      <c r="B1891" s="42">
        <v>1470</v>
      </c>
      <c r="C1891" s="5" t="s">
        <v>7866</v>
      </c>
      <c r="D1891" s="5" t="s">
        <v>7867</v>
      </c>
      <c r="E1891" s="6" t="s">
        <v>7868</v>
      </c>
      <c r="F1891" s="10"/>
      <c r="G1891" s="11" t="s">
        <v>7869</v>
      </c>
      <c r="H1891" s="12">
        <v>10</v>
      </c>
      <c r="I1891" s="13" t="s">
        <v>41</v>
      </c>
      <c r="J1891" s="13"/>
      <c r="K1891" s="13"/>
      <c r="L1891" s="4">
        <v>2</v>
      </c>
      <c r="M1891" s="14">
        <f>377*(1-P3/100)</f>
        <v>377</v>
      </c>
      <c r="N1891" s="15"/>
      <c r="O1891" s="13">
        <f t="shared" si="82"/>
        <v>0</v>
      </c>
      <c r="P1891" s="13">
        <v>0</v>
      </c>
      <c r="Q1891" s="13">
        <v>0</v>
      </c>
      <c r="R1891" s="24"/>
      <c r="S1891" s="25" t="s">
        <v>7870</v>
      </c>
      <c r="T1891" s="25" t="s">
        <v>43</v>
      </c>
      <c r="U1891" s="5" t="s">
        <v>7871</v>
      </c>
      <c r="V1891" s="5" t="s">
        <v>7872</v>
      </c>
      <c r="W1891" s="5" t="s">
        <v>46</v>
      </c>
      <c r="X1891" s="5"/>
      <c r="Y1891" s="5"/>
      <c r="Z1891" s="5" t="str">
        <f>HYPERLINK("https://knigipp.ru/api/getInfo/image/7abac6fb-7311-11ee-a248-00155d82e902")</f>
        <v>https://knigipp.ru/api/getInfo/image/7abac6fb-7311-11ee-a248-00155d82e902</v>
      </c>
      <c r="AA1891" s="33">
        <v>64</v>
      </c>
      <c r="AB1891" s="5" t="s">
        <v>47</v>
      </c>
      <c r="AC1891" s="5" t="s">
        <v>48</v>
      </c>
      <c r="AD1891" s="5"/>
      <c r="AE1891" s="5" t="s">
        <v>49</v>
      </c>
      <c r="AF1891" s="5"/>
      <c r="AG1891" s="5"/>
      <c r="AH1891" s="5" t="s">
        <v>7873</v>
      </c>
    </row>
    <row r="1892" spans="2:35" ht="21" customHeight="1" outlineLevel="3" x14ac:dyDescent="0.2">
      <c r="B1892" s="42">
        <v>1471</v>
      </c>
      <c r="C1892" s="5" t="s">
        <v>7874</v>
      </c>
      <c r="D1892" s="5" t="s">
        <v>7875</v>
      </c>
      <c r="E1892" s="6" t="s">
        <v>7876</v>
      </c>
      <c r="F1892" s="10"/>
      <c r="G1892" s="11" t="s">
        <v>7877</v>
      </c>
      <c r="H1892" s="12">
        <v>20</v>
      </c>
      <c r="I1892" s="13" t="s">
        <v>41</v>
      </c>
      <c r="J1892" s="13"/>
      <c r="K1892" s="13"/>
      <c r="L1892" s="4">
        <v>2</v>
      </c>
      <c r="M1892" s="14">
        <f>317*(1-P3/100)</f>
        <v>317</v>
      </c>
      <c r="N1892" s="15"/>
      <c r="O1892" s="13">
        <f t="shared" si="82"/>
        <v>0</v>
      </c>
      <c r="P1892" s="22">
        <f>0.245*N1892</f>
        <v>0</v>
      </c>
      <c r="Q1892" s="23">
        <f>0.00025*N1892</f>
        <v>0</v>
      </c>
      <c r="R1892" s="24"/>
      <c r="S1892" s="25" t="s">
        <v>7878</v>
      </c>
      <c r="T1892" s="25" t="s">
        <v>43</v>
      </c>
      <c r="U1892" s="5" t="s">
        <v>7879</v>
      </c>
      <c r="V1892" s="5" t="s">
        <v>7880</v>
      </c>
      <c r="W1892" s="5" t="s">
        <v>46</v>
      </c>
      <c r="X1892" s="5"/>
      <c r="Y1892" s="5"/>
      <c r="Z1892" s="5" t="str">
        <f>HYPERLINK("https://knigipp.ru/api/getInfo/image/86b7bebb-d7cc-11ee-a25a-00155d82e908")</f>
        <v>https://knigipp.ru/api/getInfo/image/86b7bebb-d7cc-11ee-a25a-00155d82e908</v>
      </c>
      <c r="AA1892" s="33">
        <v>64</v>
      </c>
      <c r="AB1892" s="5" t="s">
        <v>1768</v>
      </c>
      <c r="AC1892" s="5" t="s">
        <v>86</v>
      </c>
      <c r="AD1892" s="5"/>
      <c r="AE1892" s="5" t="s">
        <v>49</v>
      </c>
      <c r="AF1892" s="5"/>
      <c r="AG1892" s="5"/>
      <c r="AH1892" s="5" t="s">
        <v>7881</v>
      </c>
    </row>
    <row r="1893" spans="2:35" ht="21" customHeight="1" outlineLevel="3" x14ac:dyDescent="0.2">
      <c r="B1893" s="42">
        <v>1472</v>
      </c>
      <c r="C1893" s="5" t="s">
        <v>7882</v>
      </c>
      <c r="D1893" s="5" t="s">
        <v>7883</v>
      </c>
      <c r="E1893" s="6" t="s">
        <v>7884</v>
      </c>
      <c r="F1893" s="10"/>
      <c r="G1893" s="11" t="s">
        <v>7885</v>
      </c>
      <c r="H1893" s="12">
        <v>20</v>
      </c>
      <c r="I1893" s="13" t="s">
        <v>41</v>
      </c>
      <c r="J1893" s="13"/>
      <c r="K1893" s="13"/>
      <c r="L1893" s="4">
        <v>2</v>
      </c>
      <c r="M1893" s="14">
        <f>347*(1-P3/100)</f>
        <v>347</v>
      </c>
      <c r="N1893" s="15"/>
      <c r="O1893" s="13">
        <f t="shared" si="82"/>
        <v>0</v>
      </c>
      <c r="P1893" s="13">
        <v>0</v>
      </c>
      <c r="Q1893" s="13">
        <v>0</v>
      </c>
      <c r="R1893" s="24"/>
      <c r="S1893" s="25" t="s">
        <v>7886</v>
      </c>
      <c r="T1893" s="25" t="s">
        <v>43</v>
      </c>
      <c r="U1893" s="5" t="s">
        <v>44</v>
      </c>
      <c r="V1893" s="5" t="s">
        <v>7887</v>
      </c>
      <c r="W1893" s="5" t="s">
        <v>46</v>
      </c>
      <c r="X1893" s="5" t="s">
        <v>1048</v>
      </c>
      <c r="Y1893" s="5"/>
      <c r="Z1893" s="5" t="str">
        <f>HYPERLINK("https://knigipp.ru/api/getInfo/image/a2fb664d-6147-11ef-a264-00155d82e908")</f>
        <v>https://knigipp.ru/api/getInfo/image/a2fb664d-6147-11ef-a264-00155d82e908</v>
      </c>
      <c r="AA1893" s="33">
        <v>112</v>
      </c>
      <c r="AB1893" s="5" t="s">
        <v>47</v>
      </c>
      <c r="AC1893" s="5" t="s">
        <v>86</v>
      </c>
      <c r="AD1893" s="5"/>
      <c r="AE1893" s="5" t="s">
        <v>49</v>
      </c>
      <c r="AF1893" s="5"/>
      <c r="AG1893" s="5"/>
      <c r="AH1893" s="5" t="s">
        <v>521</v>
      </c>
    </row>
    <row r="1894" spans="2:35" ht="21" customHeight="1" outlineLevel="3" x14ac:dyDescent="0.2">
      <c r="B1894" s="43">
        <v>1473</v>
      </c>
      <c r="C1894" s="8" t="s">
        <v>7888</v>
      </c>
      <c r="D1894" s="8" t="s">
        <v>7889</v>
      </c>
      <c r="E1894" s="9" t="s">
        <v>7890</v>
      </c>
      <c r="F1894" s="16"/>
      <c r="G1894" s="17" t="s">
        <v>7891</v>
      </c>
      <c r="H1894" s="18">
        <v>10</v>
      </c>
      <c r="I1894" s="19" t="s">
        <v>41</v>
      </c>
      <c r="J1894" s="19"/>
      <c r="K1894" s="19"/>
      <c r="L1894" s="7">
        <v>1</v>
      </c>
      <c r="M1894" s="21">
        <f>737*(1-P3/100)</f>
        <v>737</v>
      </c>
      <c r="N1894" s="15"/>
      <c r="O1894" s="19">
        <f t="shared" si="82"/>
        <v>0</v>
      </c>
      <c r="P1894" s="26">
        <f>0.296*N1894</f>
        <v>0</v>
      </c>
      <c r="Q1894" s="27">
        <f>0.00044*N1894</f>
        <v>0</v>
      </c>
      <c r="R1894" s="28" t="s">
        <v>81</v>
      </c>
      <c r="S1894" s="29" t="s">
        <v>7892</v>
      </c>
      <c r="T1894" s="29" t="s">
        <v>43</v>
      </c>
      <c r="U1894" s="8" t="s">
        <v>7893</v>
      </c>
      <c r="V1894" s="8" t="s">
        <v>7894</v>
      </c>
      <c r="W1894" s="8" t="s">
        <v>46</v>
      </c>
      <c r="X1894" s="8"/>
      <c r="Y1894" s="8"/>
      <c r="Z1894" s="8" t="str">
        <f>HYPERLINK("https://knigipp.ru/api/getInfo/image/fd1d3014-cc63-11f0-a28a-00155d82e908")</f>
        <v>https://knigipp.ru/api/getInfo/image/fd1d3014-cc63-11f0-a28a-00155d82e908</v>
      </c>
      <c r="AA1894" s="34">
        <v>64</v>
      </c>
      <c r="AB1894" s="8" t="s">
        <v>47</v>
      </c>
      <c r="AC1894" s="8" t="s">
        <v>86</v>
      </c>
      <c r="AD1894" s="8"/>
      <c r="AE1894" s="8" t="s">
        <v>49</v>
      </c>
      <c r="AF1894" s="8"/>
      <c r="AG1894" s="8"/>
      <c r="AH1894" s="8" t="s">
        <v>7895</v>
      </c>
      <c r="AI1894" s="55"/>
    </row>
    <row r="1895" spans="2:35" ht="21" customHeight="1" outlineLevel="3" x14ac:dyDescent="0.2">
      <c r="B1895" s="42">
        <v>1474</v>
      </c>
      <c r="C1895" s="5" t="s">
        <v>7896</v>
      </c>
      <c r="D1895" s="5" t="s">
        <v>7897</v>
      </c>
      <c r="E1895" s="6" t="s">
        <v>7898</v>
      </c>
      <c r="F1895" s="10"/>
      <c r="G1895" s="11" t="s">
        <v>7899</v>
      </c>
      <c r="H1895" s="12">
        <v>12</v>
      </c>
      <c r="I1895" s="13" t="s">
        <v>371</v>
      </c>
      <c r="J1895" s="13"/>
      <c r="K1895" s="13"/>
      <c r="L1895" s="4">
        <v>1</v>
      </c>
      <c r="M1895" s="14">
        <f>547*(1-P3/100)</f>
        <v>547</v>
      </c>
      <c r="N1895" s="15"/>
      <c r="O1895" s="13">
        <f t="shared" si="82"/>
        <v>0</v>
      </c>
      <c r="P1895" s="22">
        <f>0.416*N1895</f>
        <v>0</v>
      </c>
      <c r="Q1895" s="23">
        <f>0.00048*N1895</f>
        <v>0</v>
      </c>
      <c r="R1895" s="24"/>
      <c r="S1895" s="25" t="s">
        <v>7900</v>
      </c>
      <c r="T1895" s="25" t="s">
        <v>43</v>
      </c>
      <c r="U1895" s="5" t="s">
        <v>676</v>
      </c>
      <c r="V1895" s="5" t="s">
        <v>7901</v>
      </c>
      <c r="W1895" s="5" t="s">
        <v>46</v>
      </c>
      <c r="X1895" s="5"/>
      <c r="Y1895" s="5"/>
      <c r="Z1895" s="5" t="str">
        <f>HYPERLINK("https://knigipp.ru/api/getInfo/image/1456261e-92cf-11eb-a233-0cc47a2bbb49")</f>
        <v>https://knigipp.ru/api/getInfo/image/1456261e-92cf-11eb-a233-0cc47a2bbb49</v>
      </c>
      <c r="AA1895" s="33">
        <v>32</v>
      </c>
      <c r="AB1895" s="5"/>
      <c r="AC1895" s="5" t="s">
        <v>86</v>
      </c>
      <c r="AD1895" s="5"/>
      <c r="AE1895" s="5" t="s">
        <v>49</v>
      </c>
      <c r="AF1895" s="5"/>
      <c r="AG1895" s="5"/>
      <c r="AH1895" s="5" t="s">
        <v>7902</v>
      </c>
    </row>
    <row r="1896" spans="2:35" ht="21" customHeight="1" outlineLevel="3" x14ac:dyDescent="0.2">
      <c r="B1896" s="42">
        <v>1475</v>
      </c>
      <c r="C1896" s="5" t="s">
        <v>7903</v>
      </c>
      <c r="D1896" s="5" t="s">
        <v>7904</v>
      </c>
      <c r="E1896" s="6" t="s">
        <v>7905</v>
      </c>
      <c r="F1896" s="10"/>
      <c r="G1896" s="11" t="s">
        <v>7906</v>
      </c>
      <c r="H1896" s="12">
        <v>10</v>
      </c>
      <c r="I1896" s="13" t="s">
        <v>41</v>
      </c>
      <c r="J1896" s="13"/>
      <c r="K1896" s="13"/>
      <c r="L1896" s="4">
        <v>2</v>
      </c>
      <c r="M1896" s="14">
        <f>447*(1-P3/100)</f>
        <v>447</v>
      </c>
      <c r="N1896" s="15"/>
      <c r="O1896" s="13">
        <f t="shared" si="82"/>
        <v>0</v>
      </c>
      <c r="P1896" s="22">
        <f>0.331*N1896</f>
        <v>0</v>
      </c>
      <c r="Q1896" s="23">
        <f>0.00054*N1896</f>
        <v>0</v>
      </c>
      <c r="R1896" s="24"/>
      <c r="S1896" s="25" t="s">
        <v>7907</v>
      </c>
      <c r="T1896" s="25" t="s">
        <v>43</v>
      </c>
      <c r="U1896" s="5" t="s">
        <v>7908</v>
      </c>
      <c r="V1896" s="5" t="s">
        <v>7909</v>
      </c>
      <c r="W1896" s="5" t="s">
        <v>46</v>
      </c>
      <c r="X1896" s="5" t="s">
        <v>573</v>
      </c>
      <c r="Y1896" s="5"/>
      <c r="Z1896" s="5" t="str">
        <f>HYPERLINK("https://knigipp.ru/api/getInfo/image/c12ae5c7-3068-11ee-a23e-00155d82e902")</f>
        <v>https://knigipp.ru/api/getInfo/image/c12ae5c7-3068-11ee-a23e-00155d82e902</v>
      </c>
      <c r="AA1896" s="33">
        <v>80</v>
      </c>
      <c r="AB1896" s="5" t="s">
        <v>574</v>
      </c>
      <c r="AC1896" s="5" t="s">
        <v>86</v>
      </c>
      <c r="AD1896" s="5"/>
      <c r="AE1896" s="5" t="s">
        <v>49</v>
      </c>
      <c r="AF1896" s="5"/>
      <c r="AG1896" s="5"/>
      <c r="AH1896" s="5" t="s">
        <v>7895</v>
      </c>
    </row>
    <row r="1897" spans="2:35" ht="21" customHeight="1" outlineLevel="3" x14ac:dyDescent="0.2">
      <c r="B1897" s="42">
        <v>1476</v>
      </c>
      <c r="C1897" s="5" t="s">
        <v>7910</v>
      </c>
      <c r="D1897" s="5" t="s">
        <v>7911</v>
      </c>
      <c r="E1897" s="6" t="s">
        <v>7912</v>
      </c>
      <c r="F1897" s="10"/>
      <c r="G1897" s="11" t="s">
        <v>7913</v>
      </c>
      <c r="H1897" s="12">
        <v>10</v>
      </c>
      <c r="I1897" s="13" t="s">
        <v>41</v>
      </c>
      <c r="J1897" s="13"/>
      <c r="K1897" s="13"/>
      <c r="L1897" s="4">
        <v>2</v>
      </c>
      <c r="M1897" s="14">
        <f>447*(1-P3/100)</f>
        <v>447</v>
      </c>
      <c r="N1897" s="15"/>
      <c r="O1897" s="13">
        <f t="shared" si="82"/>
        <v>0</v>
      </c>
      <c r="P1897" s="22">
        <f>0.334*N1897</f>
        <v>0</v>
      </c>
      <c r="Q1897" s="23">
        <f>0.00049*N1897</f>
        <v>0</v>
      </c>
      <c r="R1897" s="24"/>
      <c r="S1897" s="25" t="s">
        <v>7914</v>
      </c>
      <c r="T1897" s="25" t="s">
        <v>43</v>
      </c>
      <c r="U1897" s="5" t="s">
        <v>7915</v>
      </c>
      <c r="V1897" s="5" t="s">
        <v>7916</v>
      </c>
      <c r="W1897" s="5" t="s">
        <v>46</v>
      </c>
      <c r="X1897" s="5" t="s">
        <v>573</v>
      </c>
      <c r="Y1897" s="5"/>
      <c r="Z1897" s="5" t="str">
        <f>HYPERLINK("https://knigipp.ru/api/getInfo/image/dfc56f6e-3068-11ee-a23e-00155d82e902")</f>
        <v>https://knigipp.ru/api/getInfo/image/dfc56f6e-3068-11ee-a23e-00155d82e902</v>
      </c>
      <c r="AA1897" s="33">
        <v>80</v>
      </c>
      <c r="AB1897" s="5" t="s">
        <v>574</v>
      </c>
      <c r="AC1897" s="5" t="s">
        <v>86</v>
      </c>
      <c r="AD1897" s="5"/>
      <c r="AE1897" s="5" t="s">
        <v>49</v>
      </c>
      <c r="AF1897" s="5"/>
      <c r="AG1897" s="5"/>
      <c r="AH1897" s="5" t="s">
        <v>7895</v>
      </c>
    </row>
    <row r="1898" spans="2:35" ht="21" customHeight="1" outlineLevel="3" x14ac:dyDescent="0.2">
      <c r="B1898" s="42">
        <v>1477</v>
      </c>
      <c r="C1898" s="5" t="s">
        <v>7917</v>
      </c>
      <c r="D1898" s="5" t="s">
        <v>7918</v>
      </c>
      <c r="E1898" s="6" t="s">
        <v>7919</v>
      </c>
      <c r="F1898" s="10"/>
      <c r="G1898" s="11" t="s">
        <v>7920</v>
      </c>
      <c r="H1898" s="12">
        <v>20</v>
      </c>
      <c r="I1898" s="13" t="s">
        <v>41</v>
      </c>
      <c r="J1898" s="13"/>
      <c r="K1898" s="13"/>
      <c r="L1898" s="4">
        <v>2</v>
      </c>
      <c r="M1898" s="14">
        <f>497*(1-P3/100)</f>
        <v>497</v>
      </c>
      <c r="N1898" s="15"/>
      <c r="O1898" s="13">
        <f t="shared" si="82"/>
        <v>0</v>
      </c>
      <c r="P1898" s="22">
        <f>0.198*N1898</f>
        <v>0</v>
      </c>
      <c r="Q1898" s="23">
        <f>0.00027*N1898</f>
        <v>0</v>
      </c>
      <c r="R1898" s="24"/>
      <c r="S1898" s="25" t="s">
        <v>7921</v>
      </c>
      <c r="T1898" s="25" t="s">
        <v>43</v>
      </c>
      <c r="U1898" s="5" t="s">
        <v>7922</v>
      </c>
      <c r="V1898" s="5" t="s">
        <v>7923</v>
      </c>
      <c r="W1898" s="5" t="s">
        <v>46</v>
      </c>
      <c r="X1898" s="5"/>
      <c r="Y1898" s="5"/>
      <c r="Z1898" s="5" t="str">
        <f>HYPERLINK("https://knigipp.ru/api/getInfo/image/3b18ef54-55a8-11f0-a27e-00155d82e908")</f>
        <v>https://knigipp.ru/api/getInfo/image/3b18ef54-55a8-11f0-a27e-00155d82e908</v>
      </c>
      <c r="AA1898" s="33">
        <v>96</v>
      </c>
      <c r="AB1898" s="5" t="s">
        <v>47</v>
      </c>
      <c r="AC1898" s="5" t="s">
        <v>86</v>
      </c>
      <c r="AD1898" s="5"/>
      <c r="AE1898" s="5" t="s">
        <v>49</v>
      </c>
      <c r="AF1898" s="5"/>
      <c r="AG1898" s="5"/>
      <c r="AH1898" s="5" t="s">
        <v>130</v>
      </c>
    </row>
    <row r="1899" spans="2:35" ht="21" customHeight="1" outlineLevel="3" x14ac:dyDescent="0.2">
      <c r="B1899" s="42">
        <v>1478</v>
      </c>
      <c r="C1899" s="5" t="s">
        <v>7924</v>
      </c>
      <c r="D1899" s="5" t="s">
        <v>7925</v>
      </c>
      <c r="E1899" s="6" t="s">
        <v>7926</v>
      </c>
      <c r="F1899" s="10"/>
      <c r="G1899" s="11" t="s">
        <v>7927</v>
      </c>
      <c r="H1899" s="12">
        <v>20</v>
      </c>
      <c r="I1899" s="13" t="s">
        <v>261</v>
      </c>
      <c r="J1899" s="13"/>
      <c r="K1899" s="13"/>
      <c r="L1899" s="4">
        <v>2</v>
      </c>
      <c r="M1899" s="14">
        <f>299*(1-P3/100)</f>
        <v>299</v>
      </c>
      <c r="N1899" s="15"/>
      <c r="O1899" s="13">
        <f t="shared" si="82"/>
        <v>0</v>
      </c>
      <c r="P1899" s="13">
        <v>0</v>
      </c>
      <c r="Q1899" s="13">
        <v>0</v>
      </c>
      <c r="R1899" s="24"/>
      <c r="S1899" s="25" t="s">
        <v>7928</v>
      </c>
      <c r="T1899" s="25" t="s">
        <v>43</v>
      </c>
      <c r="U1899" s="5" t="s">
        <v>7929</v>
      </c>
      <c r="V1899" s="5" t="s">
        <v>7930</v>
      </c>
      <c r="W1899" s="5" t="s">
        <v>46</v>
      </c>
      <c r="X1899" s="5"/>
      <c r="Y1899" s="5"/>
      <c r="Z1899" s="5" t="str">
        <f>HYPERLINK("https://knigipp.ru/api/getInfo/image/575364be-117d-11ed-a215-ac1f6b442185")</f>
        <v>https://knigipp.ru/api/getInfo/image/575364be-117d-11ed-a215-ac1f6b442185</v>
      </c>
      <c r="AA1899" s="33">
        <v>24</v>
      </c>
      <c r="AB1899" s="5"/>
      <c r="AC1899" s="5" t="s">
        <v>86</v>
      </c>
      <c r="AD1899" s="5"/>
      <c r="AE1899" s="5" t="s">
        <v>49</v>
      </c>
      <c r="AF1899" s="5"/>
      <c r="AG1899" s="5"/>
      <c r="AH1899" s="5" t="s">
        <v>7931</v>
      </c>
    </row>
    <row r="1900" spans="2:35" ht="22.95" customHeight="1" outlineLevel="2" x14ac:dyDescent="0.2">
      <c r="B1900" s="73" t="s">
        <v>7932</v>
      </c>
      <c r="C1900" s="73"/>
      <c r="D1900" s="73"/>
    </row>
    <row r="1901" spans="2:35" ht="21" customHeight="1" outlineLevel="3" x14ac:dyDescent="0.2">
      <c r="B1901" s="42">
        <v>1479</v>
      </c>
      <c r="C1901" s="5" t="s">
        <v>7933</v>
      </c>
      <c r="D1901" s="5" t="s">
        <v>7934</v>
      </c>
      <c r="E1901" s="6" t="s">
        <v>7935</v>
      </c>
      <c r="F1901" s="10"/>
      <c r="G1901" s="11" t="s">
        <v>7936</v>
      </c>
      <c r="H1901" s="12">
        <v>5</v>
      </c>
      <c r="I1901" s="13" t="s">
        <v>41</v>
      </c>
      <c r="J1901" s="13"/>
      <c r="K1901" s="13"/>
      <c r="L1901" s="4">
        <v>1</v>
      </c>
      <c r="M1901" s="14">
        <f>879*(1-P3/100)</f>
        <v>879</v>
      </c>
      <c r="N1901" s="15"/>
      <c r="O1901" s="13">
        <f t="shared" ref="O1901:O1913" si="83">M1901*N1901</f>
        <v>0</v>
      </c>
      <c r="P1901" s="22">
        <f>0.749*N1901</f>
        <v>0</v>
      </c>
      <c r="Q1901" s="23">
        <f>0.00134*N1901</f>
        <v>0</v>
      </c>
      <c r="R1901" s="24"/>
      <c r="S1901" s="25" t="s">
        <v>7937</v>
      </c>
      <c r="T1901" s="25" t="s">
        <v>43</v>
      </c>
      <c r="U1901" s="5" t="s">
        <v>7938</v>
      </c>
      <c r="V1901" s="5"/>
      <c r="W1901" s="5" t="s">
        <v>46</v>
      </c>
      <c r="X1901" s="5"/>
      <c r="Y1901" s="5"/>
      <c r="Z1901" s="5" t="str">
        <f>HYPERLINK("https://knigipp.ru/api/getInfo/image/3c93176f-92cb-11eb-a233-0cc47a2bbb49")</f>
        <v>https://knigipp.ru/api/getInfo/image/3c93176f-92cb-11eb-a233-0cc47a2bbb49</v>
      </c>
      <c r="AA1901" s="33">
        <v>256</v>
      </c>
      <c r="AB1901" s="5"/>
      <c r="AC1901" s="5" t="s">
        <v>86</v>
      </c>
      <c r="AD1901" s="5"/>
      <c r="AE1901" s="5" t="s">
        <v>49</v>
      </c>
      <c r="AF1901" s="5"/>
      <c r="AG1901" s="5"/>
      <c r="AH1901" s="5" t="s">
        <v>7939</v>
      </c>
    </row>
    <row r="1902" spans="2:35" ht="21" customHeight="1" outlineLevel="3" x14ac:dyDescent="0.2">
      <c r="B1902" s="42">
        <v>1480</v>
      </c>
      <c r="C1902" s="5" t="s">
        <v>7940</v>
      </c>
      <c r="D1902" s="5" t="s">
        <v>7941</v>
      </c>
      <c r="E1902" s="6" t="s">
        <v>7942</v>
      </c>
      <c r="F1902" s="10"/>
      <c r="G1902" s="11" t="s">
        <v>7943</v>
      </c>
      <c r="H1902" s="12">
        <v>20</v>
      </c>
      <c r="I1902" s="13" t="s">
        <v>371</v>
      </c>
      <c r="J1902" s="13"/>
      <c r="K1902" s="13"/>
      <c r="L1902" s="4">
        <v>2</v>
      </c>
      <c r="M1902" s="14">
        <f>377*(1-P3/100)</f>
        <v>377</v>
      </c>
      <c r="N1902" s="15"/>
      <c r="O1902" s="13">
        <f t="shared" si="83"/>
        <v>0</v>
      </c>
      <c r="P1902" s="22">
        <f>0.299*N1902</f>
        <v>0</v>
      </c>
      <c r="Q1902" s="23">
        <f>0.00034*N1902</f>
        <v>0</v>
      </c>
      <c r="R1902" s="24"/>
      <c r="S1902" s="25" t="s">
        <v>7944</v>
      </c>
      <c r="T1902" s="25" t="s">
        <v>43</v>
      </c>
      <c r="U1902" s="5" t="s">
        <v>7945</v>
      </c>
      <c r="V1902" s="5" t="s">
        <v>7946</v>
      </c>
      <c r="W1902" s="5" t="s">
        <v>46</v>
      </c>
      <c r="X1902" s="5" t="s">
        <v>4784</v>
      </c>
      <c r="Y1902" s="5"/>
      <c r="Z1902" s="5" t="str">
        <f>HYPERLINK("https://knigipp.ru/api/getInfo/image/d224ea54-5fba-11ef-a262-00155d82e908")</f>
        <v>https://knigipp.ru/api/getInfo/image/d224ea54-5fba-11ef-a262-00155d82e908</v>
      </c>
      <c r="AA1902" s="33">
        <v>112</v>
      </c>
      <c r="AB1902" s="5" t="s">
        <v>47</v>
      </c>
      <c r="AC1902" s="5" t="s">
        <v>86</v>
      </c>
      <c r="AD1902" s="5"/>
      <c r="AE1902" s="5" t="s">
        <v>49</v>
      </c>
      <c r="AF1902" s="5"/>
      <c r="AG1902" s="5"/>
      <c r="AH1902" s="5" t="s">
        <v>130</v>
      </c>
    </row>
    <row r="1903" spans="2:35" ht="21" customHeight="1" outlineLevel="3" x14ac:dyDescent="0.2">
      <c r="B1903" s="42">
        <v>1481</v>
      </c>
      <c r="C1903" s="5" t="s">
        <v>7947</v>
      </c>
      <c r="D1903" s="5" t="s">
        <v>7948</v>
      </c>
      <c r="E1903" s="6" t="s">
        <v>7949</v>
      </c>
      <c r="F1903" s="10"/>
      <c r="G1903" s="11" t="s">
        <v>7950</v>
      </c>
      <c r="H1903" s="12">
        <v>20</v>
      </c>
      <c r="I1903" s="13" t="s">
        <v>41</v>
      </c>
      <c r="J1903" s="13"/>
      <c r="K1903" s="13"/>
      <c r="L1903" s="4">
        <v>1</v>
      </c>
      <c r="M1903" s="14">
        <f>597*(1-P3/100)</f>
        <v>597</v>
      </c>
      <c r="N1903" s="15"/>
      <c r="O1903" s="13">
        <f t="shared" si="83"/>
        <v>0</v>
      </c>
      <c r="P1903" s="22">
        <f>0.349*N1903</f>
        <v>0</v>
      </c>
      <c r="Q1903" s="23">
        <f>0.00048*N1903</f>
        <v>0</v>
      </c>
      <c r="R1903" s="24"/>
      <c r="S1903" s="25" t="s">
        <v>7951</v>
      </c>
      <c r="T1903" s="25" t="s">
        <v>43</v>
      </c>
      <c r="U1903" s="5" t="s">
        <v>7952</v>
      </c>
      <c r="V1903" s="5" t="s">
        <v>7953</v>
      </c>
      <c r="W1903" s="5" t="s">
        <v>46</v>
      </c>
      <c r="X1903" s="5"/>
      <c r="Y1903" s="5"/>
      <c r="Z1903" s="5" t="str">
        <f>HYPERLINK("https://knigipp.ru/api/getInfo/image/74913492-f5d9-11ef-a274-00155d82e908")</f>
        <v>https://knigipp.ru/api/getInfo/image/74913492-f5d9-11ef-a274-00155d82e908</v>
      </c>
      <c r="AA1903" s="33">
        <v>144</v>
      </c>
      <c r="AB1903" s="5" t="s">
        <v>47</v>
      </c>
      <c r="AC1903" s="5" t="s">
        <v>86</v>
      </c>
      <c r="AD1903" s="5"/>
      <c r="AE1903" s="5" t="s">
        <v>49</v>
      </c>
      <c r="AF1903" s="5"/>
      <c r="AG1903" s="5"/>
      <c r="AH1903" s="5" t="s">
        <v>7954</v>
      </c>
    </row>
    <row r="1904" spans="2:35" ht="21" customHeight="1" outlineLevel="3" x14ac:dyDescent="0.2">
      <c r="B1904" s="42">
        <v>1482</v>
      </c>
      <c r="C1904" s="5" t="s">
        <v>7955</v>
      </c>
      <c r="D1904" s="5" t="s">
        <v>7956</v>
      </c>
      <c r="E1904" s="6" t="s">
        <v>7957</v>
      </c>
      <c r="F1904" s="10"/>
      <c r="G1904" s="11" t="s">
        <v>7958</v>
      </c>
      <c r="H1904" s="12">
        <v>20</v>
      </c>
      <c r="I1904" s="13" t="s">
        <v>41</v>
      </c>
      <c r="J1904" s="13"/>
      <c r="K1904" s="13"/>
      <c r="L1904" s="4">
        <v>2</v>
      </c>
      <c r="M1904" s="14">
        <f>377*(1-P3/100)</f>
        <v>377</v>
      </c>
      <c r="N1904" s="15"/>
      <c r="O1904" s="13">
        <f t="shared" si="83"/>
        <v>0</v>
      </c>
      <c r="P1904" s="22">
        <f>0.294*N1904</f>
        <v>0</v>
      </c>
      <c r="Q1904" s="23">
        <f>0.00051*N1904</f>
        <v>0</v>
      </c>
      <c r="R1904" s="24"/>
      <c r="S1904" s="25" t="s">
        <v>7959</v>
      </c>
      <c r="T1904" s="25" t="s">
        <v>43</v>
      </c>
      <c r="U1904" s="5" t="s">
        <v>7960</v>
      </c>
      <c r="V1904" s="5" t="s">
        <v>7961</v>
      </c>
      <c r="W1904" s="5" t="s">
        <v>46</v>
      </c>
      <c r="X1904" s="5" t="s">
        <v>4784</v>
      </c>
      <c r="Y1904" s="5"/>
      <c r="Z1904" s="5" t="str">
        <f>HYPERLINK("https://knigipp.ru/api/getInfo/image/ff46f8f5-4f38-11ef-a262-00155d82e908")</f>
        <v>https://knigipp.ru/api/getInfo/image/ff46f8f5-4f38-11ef-a262-00155d82e908</v>
      </c>
      <c r="AA1904" s="33">
        <v>112</v>
      </c>
      <c r="AB1904" s="5" t="s">
        <v>47</v>
      </c>
      <c r="AC1904" s="5" t="s">
        <v>86</v>
      </c>
      <c r="AD1904" s="5"/>
      <c r="AE1904" s="5" t="s">
        <v>49</v>
      </c>
      <c r="AF1904" s="5"/>
      <c r="AG1904" s="5"/>
      <c r="AH1904" s="5" t="s">
        <v>130</v>
      </c>
    </row>
    <row r="1905" spans="2:35" ht="21" customHeight="1" outlineLevel="3" x14ac:dyDescent="0.2">
      <c r="B1905" s="42">
        <v>1483</v>
      </c>
      <c r="C1905" s="5" t="s">
        <v>7962</v>
      </c>
      <c r="D1905" s="5" t="s">
        <v>7963</v>
      </c>
      <c r="E1905" s="6" t="s">
        <v>7964</v>
      </c>
      <c r="F1905" s="10"/>
      <c r="G1905" s="11" t="s">
        <v>7965</v>
      </c>
      <c r="H1905" s="12">
        <v>10</v>
      </c>
      <c r="I1905" s="13" t="s">
        <v>41</v>
      </c>
      <c r="J1905" s="13"/>
      <c r="K1905" s="13"/>
      <c r="L1905" s="4">
        <v>1</v>
      </c>
      <c r="M1905" s="14">
        <f>547*(1-P3/100)</f>
        <v>547</v>
      </c>
      <c r="N1905" s="15"/>
      <c r="O1905" s="13">
        <f t="shared" si="83"/>
        <v>0</v>
      </c>
      <c r="P1905" s="22">
        <f>0.255*N1905</f>
        <v>0</v>
      </c>
      <c r="Q1905" s="23">
        <f>0.00049*N1905</f>
        <v>0</v>
      </c>
      <c r="R1905" s="24"/>
      <c r="S1905" s="25" t="s">
        <v>7966</v>
      </c>
      <c r="T1905" s="25" t="s">
        <v>43</v>
      </c>
      <c r="U1905" s="5" t="s">
        <v>7828</v>
      </c>
      <c r="V1905" s="5" t="s">
        <v>7967</v>
      </c>
      <c r="W1905" s="5" t="s">
        <v>46</v>
      </c>
      <c r="X1905" s="5" t="s">
        <v>1048</v>
      </c>
      <c r="Y1905" s="5"/>
      <c r="Z1905" s="5" t="str">
        <f>HYPERLINK("https://knigipp.ru/api/getInfo/image/45f6ab56-4f3e-11ef-a262-00155d82e908")</f>
        <v>https://knigipp.ru/api/getInfo/image/45f6ab56-4f3e-11ef-a262-00155d82e908</v>
      </c>
      <c r="AA1905" s="33">
        <v>48</v>
      </c>
      <c r="AB1905" s="5" t="s">
        <v>598</v>
      </c>
      <c r="AC1905" s="5" t="s">
        <v>86</v>
      </c>
      <c r="AD1905" s="5"/>
      <c r="AE1905" s="5" t="s">
        <v>49</v>
      </c>
      <c r="AF1905" s="5"/>
      <c r="AG1905" s="5"/>
      <c r="AH1905" s="5" t="s">
        <v>7865</v>
      </c>
    </row>
    <row r="1906" spans="2:35" ht="21" customHeight="1" outlineLevel="3" x14ac:dyDescent="0.2">
      <c r="B1906" s="42">
        <v>1484</v>
      </c>
      <c r="C1906" s="5" t="s">
        <v>7968</v>
      </c>
      <c r="D1906" s="5" t="s">
        <v>7969</v>
      </c>
      <c r="E1906" s="6" t="s">
        <v>7970</v>
      </c>
      <c r="F1906" s="10"/>
      <c r="G1906" s="11" t="s">
        <v>7971</v>
      </c>
      <c r="H1906" s="12">
        <v>20</v>
      </c>
      <c r="I1906" s="13" t="s">
        <v>41</v>
      </c>
      <c r="J1906" s="13"/>
      <c r="K1906" s="13"/>
      <c r="L1906" s="4">
        <v>2</v>
      </c>
      <c r="M1906" s="14">
        <f>397*(1-P3/100)</f>
        <v>397</v>
      </c>
      <c r="N1906" s="15"/>
      <c r="O1906" s="13">
        <f t="shared" si="83"/>
        <v>0</v>
      </c>
      <c r="P1906" s="22">
        <f>0.263*N1906</f>
        <v>0</v>
      </c>
      <c r="Q1906" s="23">
        <f>0.00043*N1906</f>
        <v>0</v>
      </c>
      <c r="R1906" s="24"/>
      <c r="S1906" s="25" t="s">
        <v>7972</v>
      </c>
      <c r="T1906" s="25" t="s">
        <v>43</v>
      </c>
      <c r="U1906" s="5" t="s">
        <v>7973</v>
      </c>
      <c r="V1906" s="5" t="s">
        <v>7974</v>
      </c>
      <c r="W1906" s="5" t="s">
        <v>46</v>
      </c>
      <c r="X1906" s="5" t="s">
        <v>2160</v>
      </c>
      <c r="Y1906" s="5"/>
      <c r="Z1906" s="5" t="str">
        <f>HYPERLINK("https://knigipp.ru/api/getInfo/image/d63bf325-7fc3-11ef-a265-00155d82e908")</f>
        <v>https://knigipp.ru/api/getInfo/image/d63bf325-7fc3-11ef-a265-00155d82e908</v>
      </c>
      <c r="AA1906" s="33">
        <v>96</v>
      </c>
      <c r="AB1906" s="5" t="s">
        <v>47</v>
      </c>
      <c r="AC1906" s="5" t="s">
        <v>86</v>
      </c>
      <c r="AD1906" s="5"/>
      <c r="AE1906" s="5" t="s">
        <v>49</v>
      </c>
      <c r="AF1906" s="5"/>
      <c r="AG1906" s="5"/>
      <c r="AH1906" s="5" t="s">
        <v>7975</v>
      </c>
    </row>
    <row r="1907" spans="2:35" ht="21" customHeight="1" outlineLevel="3" x14ac:dyDescent="0.2">
      <c r="B1907" s="42">
        <v>1485</v>
      </c>
      <c r="C1907" s="5" t="s">
        <v>7976</v>
      </c>
      <c r="D1907" s="5" t="s">
        <v>7977</v>
      </c>
      <c r="E1907" s="6" t="s">
        <v>7978</v>
      </c>
      <c r="F1907" s="10"/>
      <c r="G1907" s="11" t="s">
        <v>7979</v>
      </c>
      <c r="H1907" s="12">
        <v>20</v>
      </c>
      <c r="I1907" s="13" t="s">
        <v>261</v>
      </c>
      <c r="J1907" s="13"/>
      <c r="K1907" s="13"/>
      <c r="L1907" s="4">
        <v>2</v>
      </c>
      <c r="M1907" s="14">
        <f>309.4*(1-P3/100)</f>
        <v>309.39999999999998</v>
      </c>
      <c r="N1907" s="15"/>
      <c r="O1907" s="13">
        <f t="shared" si="83"/>
        <v>0</v>
      </c>
      <c r="P1907" s="32">
        <f>0.23*N1907</f>
        <v>0</v>
      </c>
      <c r="Q1907" s="23">
        <f>0.00037*N1907</f>
        <v>0</v>
      </c>
      <c r="R1907" s="24"/>
      <c r="S1907" s="25" t="s">
        <v>7980</v>
      </c>
      <c r="T1907" s="25" t="s">
        <v>43</v>
      </c>
      <c r="U1907" s="5" t="s">
        <v>7981</v>
      </c>
      <c r="V1907" s="5"/>
      <c r="W1907" s="5" t="s">
        <v>46</v>
      </c>
      <c r="X1907" s="5"/>
      <c r="Y1907" s="5"/>
      <c r="Z1907" s="5" t="str">
        <f>HYPERLINK("https://knigipp.ru/api/getInfo/image/6e19842a-533c-11ec-a20f-ac1f6b442185")</f>
        <v>https://knigipp.ru/api/getInfo/image/6e19842a-533c-11ec-a20f-ac1f6b442185</v>
      </c>
      <c r="AA1907" s="33">
        <v>80</v>
      </c>
      <c r="AB1907" s="5"/>
      <c r="AC1907" s="5" t="s">
        <v>86</v>
      </c>
      <c r="AD1907" s="5"/>
      <c r="AE1907" s="5" t="s">
        <v>49</v>
      </c>
      <c r="AF1907" s="5"/>
      <c r="AG1907" s="5"/>
      <c r="AH1907" s="5" t="s">
        <v>7982</v>
      </c>
    </row>
    <row r="1908" spans="2:35" ht="21" customHeight="1" outlineLevel="3" x14ac:dyDescent="0.2">
      <c r="B1908" s="42">
        <v>1486</v>
      </c>
      <c r="C1908" s="5" t="s">
        <v>7983</v>
      </c>
      <c r="D1908" s="5" t="s">
        <v>7984</v>
      </c>
      <c r="E1908" s="6" t="s">
        <v>7985</v>
      </c>
      <c r="F1908" s="10"/>
      <c r="G1908" s="11" t="s">
        <v>7986</v>
      </c>
      <c r="H1908" s="12">
        <v>24</v>
      </c>
      <c r="I1908" s="13" t="s">
        <v>371</v>
      </c>
      <c r="J1908" s="13"/>
      <c r="K1908" s="13"/>
      <c r="L1908" s="4">
        <v>2</v>
      </c>
      <c r="M1908" s="14">
        <f>299*(1-P3/100)</f>
        <v>299</v>
      </c>
      <c r="N1908" s="15"/>
      <c r="O1908" s="13">
        <f t="shared" si="83"/>
        <v>0</v>
      </c>
      <c r="P1908" s="22">
        <f>0.291*N1908</f>
        <v>0</v>
      </c>
      <c r="Q1908" s="23">
        <f>0.00046*N1908</f>
        <v>0</v>
      </c>
      <c r="R1908" s="24"/>
      <c r="S1908" s="25" t="s">
        <v>7987</v>
      </c>
      <c r="T1908" s="25" t="s">
        <v>43</v>
      </c>
      <c r="U1908" s="5" t="s">
        <v>7981</v>
      </c>
      <c r="V1908" s="5" t="s">
        <v>7988</v>
      </c>
      <c r="W1908" s="5" t="s">
        <v>46</v>
      </c>
      <c r="X1908" s="5"/>
      <c r="Y1908" s="5"/>
      <c r="Z1908" s="5" t="str">
        <f>HYPERLINK("https://knigipp.ru/api/getInfo/image/ce9c880f-3063-11ee-a23e-00155d82e902")</f>
        <v>https://knigipp.ru/api/getInfo/image/ce9c880f-3063-11ee-a23e-00155d82e902</v>
      </c>
      <c r="AA1908" s="33">
        <v>112</v>
      </c>
      <c r="AB1908" s="5" t="s">
        <v>574</v>
      </c>
      <c r="AC1908" s="5" t="s">
        <v>86</v>
      </c>
      <c r="AD1908" s="5"/>
      <c r="AE1908" s="5" t="s">
        <v>49</v>
      </c>
      <c r="AF1908" s="5"/>
      <c r="AG1908" s="5"/>
      <c r="AH1908" s="5" t="s">
        <v>7989</v>
      </c>
    </row>
    <row r="1909" spans="2:35" ht="21" customHeight="1" outlineLevel="3" x14ac:dyDescent="0.2">
      <c r="B1909" s="42">
        <v>1487</v>
      </c>
      <c r="C1909" s="5" t="s">
        <v>7990</v>
      </c>
      <c r="D1909" s="5" t="s">
        <v>7991</v>
      </c>
      <c r="E1909" s="6" t="s">
        <v>7992</v>
      </c>
      <c r="F1909" s="10"/>
      <c r="G1909" s="11" t="s">
        <v>7993</v>
      </c>
      <c r="H1909" s="12">
        <v>10</v>
      </c>
      <c r="I1909" s="13" t="s">
        <v>41</v>
      </c>
      <c r="J1909" s="13"/>
      <c r="K1909" s="13"/>
      <c r="L1909" s="4">
        <v>2</v>
      </c>
      <c r="M1909" s="14">
        <f>407*(1-P3/100)</f>
        <v>407</v>
      </c>
      <c r="N1909" s="15"/>
      <c r="O1909" s="13">
        <f t="shared" si="83"/>
        <v>0</v>
      </c>
      <c r="P1909" s="22">
        <f>0.229*N1909</f>
        <v>0</v>
      </c>
      <c r="Q1909" s="30">
        <f>0.0004*N1909</f>
        <v>0</v>
      </c>
      <c r="R1909" s="24"/>
      <c r="S1909" s="25" t="s">
        <v>7994</v>
      </c>
      <c r="T1909" s="25" t="s">
        <v>43</v>
      </c>
      <c r="U1909" s="5" t="s">
        <v>56</v>
      </c>
      <c r="V1909" s="5" t="s">
        <v>7995</v>
      </c>
      <c r="W1909" s="5" t="s">
        <v>46</v>
      </c>
      <c r="X1909" s="5"/>
      <c r="Y1909" s="5"/>
      <c r="Z1909" s="5" t="str">
        <f>HYPERLINK("https://knigipp.ru/api/getInfo/image/34b24ec6-0e3d-11f0-a279-00155d82e908")</f>
        <v>https://knigipp.ru/api/getInfo/image/34b24ec6-0e3d-11f0-a279-00155d82e908</v>
      </c>
      <c r="AA1909" s="33">
        <v>112</v>
      </c>
      <c r="AB1909" s="5" t="s">
        <v>47</v>
      </c>
      <c r="AC1909" s="5" t="s">
        <v>86</v>
      </c>
      <c r="AD1909" s="5"/>
      <c r="AE1909" s="5" t="s">
        <v>49</v>
      </c>
      <c r="AF1909" s="5"/>
      <c r="AG1909" s="5"/>
      <c r="AH1909" s="5" t="s">
        <v>2408</v>
      </c>
    </row>
    <row r="1910" spans="2:35" ht="21" customHeight="1" outlineLevel="3" x14ac:dyDescent="0.2">
      <c r="B1910" s="42">
        <v>1488</v>
      </c>
      <c r="C1910" s="5" t="s">
        <v>7996</v>
      </c>
      <c r="D1910" s="5" t="s">
        <v>7997</v>
      </c>
      <c r="E1910" s="6" t="s">
        <v>7998</v>
      </c>
      <c r="F1910" s="10"/>
      <c r="G1910" s="11" t="s">
        <v>7993</v>
      </c>
      <c r="H1910" s="12">
        <v>20</v>
      </c>
      <c r="I1910" s="13" t="s">
        <v>41</v>
      </c>
      <c r="J1910" s="13"/>
      <c r="K1910" s="13"/>
      <c r="L1910" s="4">
        <v>3</v>
      </c>
      <c r="M1910" s="14">
        <f>207*(1-P3/100)</f>
        <v>207</v>
      </c>
      <c r="N1910" s="15"/>
      <c r="O1910" s="13">
        <f t="shared" si="83"/>
        <v>0</v>
      </c>
      <c r="P1910" s="22">
        <f>0.074*N1910</f>
        <v>0</v>
      </c>
      <c r="Q1910" s="23">
        <f>0.00017*N1910</f>
        <v>0</v>
      </c>
      <c r="R1910" s="24"/>
      <c r="S1910" s="25" t="s">
        <v>7999</v>
      </c>
      <c r="T1910" s="25" t="s">
        <v>43</v>
      </c>
      <c r="U1910" s="5" t="s">
        <v>56</v>
      </c>
      <c r="V1910" s="5" t="s">
        <v>8000</v>
      </c>
      <c r="W1910" s="5" t="s">
        <v>46</v>
      </c>
      <c r="X1910" s="5"/>
      <c r="Y1910" s="5"/>
      <c r="Z1910" s="5" t="str">
        <f>HYPERLINK("https://knigipp.ru/api/getInfo/image/ada300f7-6146-11ef-a264-00155d82e908")</f>
        <v>https://knigipp.ru/api/getInfo/image/ada300f7-6146-11ef-a264-00155d82e908</v>
      </c>
      <c r="AA1910" s="33">
        <v>96</v>
      </c>
      <c r="AB1910" s="5" t="s">
        <v>47</v>
      </c>
      <c r="AC1910" s="5" t="s">
        <v>48</v>
      </c>
      <c r="AD1910" s="5"/>
      <c r="AE1910" s="5" t="s">
        <v>49</v>
      </c>
      <c r="AF1910" s="5"/>
      <c r="AG1910" s="5"/>
      <c r="AH1910" s="5" t="s">
        <v>8001</v>
      </c>
    </row>
    <row r="1911" spans="2:35" ht="21" customHeight="1" outlineLevel="3" x14ac:dyDescent="0.2">
      <c r="B1911" s="42">
        <v>1489</v>
      </c>
      <c r="C1911" s="5" t="s">
        <v>8002</v>
      </c>
      <c r="D1911" s="5" t="s">
        <v>8003</v>
      </c>
      <c r="E1911" s="6" t="s">
        <v>8004</v>
      </c>
      <c r="F1911" s="10"/>
      <c r="G1911" s="11" t="s">
        <v>8005</v>
      </c>
      <c r="H1911" s="12">
        <v>10</v>
      </c>
      <c r="I1911" s="13" t="s">
        <v>41</v>
      </c>
      <c r="J1911" s="13"/>
      <c r="K1911" s="13"/>
      <c r="L1911" s="4">
        <v>2</v>
      </c>
      <c r="M1911" s="14">
        <f>407*(1-P3/100)</f>
        <v>407</v>
      </c>
      <c r="N1911" s="15"/>
      <c r="O1911" s="13">
        <f t="shared" si="83"/>
        <v>0</v>
      </c>
      <c r="P1911" s="22">
        <f>0.257*N1911</f>
        <v>0</v>
      </c>
      <c r="Q1911" s="23">
        <f>0.00052*N1911</f>
        <v>0</v>
      </c>
      <c r="R1911" s="24"/>
      <c r="S1911" s="25" t="s">
        <v>8006</v>
      </c>
      <c r="T1911" s="25" t="s">
        <v>43</v>
      </c>
      <c r="U1911" s="5" t="s">
        <v>8007</v>
      </c>
      <c r="V1911" s="5" t="s">
        <v>8008</v>
      </c>
      <c r="W1911" s="5" t="s">
        <v>46</v>
      </c>
      <c r="X1911" s="5"/>
      <c r="Y1911" s="5"/>
      <c r="Z1911" s="5" t="str">
        <f>HYPERLINK("https://knigipp.ru/api/getInfo/image/a09a6048-6d44-11f0-a284-00155d82e908")</f>
        <v>https://knigipp.ru/api/getInfo/image/a09a6048-6d44-11f0-a284-00155d82e908</v>
      </c>
      <c r="AA1911" s="33">
        <v>128</v>
      </c>
      <c r="AB1911" s="5" t="s">
        <v>47</v>
      </c>
      <c r="AC1911" s="5" t="s">
        <v>86</v>
      </c>
      <c r="AD1911" s="5"/>
      <c r="AE1911" s="5" t="s">
        <v>49</v>
      </c>
      <c r="AF1911" s="5"/>
      <c r="AG1911" s="5"/>
      <c r="AH1911" s="5" t="s">
        <v>2282</v>
      </c>
    </row>
    <row r="1912" spans="2:35" ht="21" customHeight="1" outlineLevel="3" x14ac:dyDescent="0.2">
      <c r="B1912" s="42">
        <v>1490</v>
      </c>
      <c r="C1912" s="5" t="s">
        <v>8009</v>
      </c>
      <c r="D1912" s="5" t="s">
        <v>8010</v>
      </c>
      <c r="E1912" s="6" t="s">
        <v>8011</v>
      </c>
      <c r="F1912" s="10"/>
      <c r="G1912" s="11" t="s">
        <v>8012</v>
      </c>
      <c r="H1912" s="12">
        <v>10</v>
      </c>
      <c r="I1912" s="13" t="s">
        <v>41</v>
      </c>
      <c r="J1912" s="13"/>
      <c r="K1912" s="13"/>
      <c r="L1912" s="4">
        <v>2</v>
      </c>
      <c r="M1912" s="14">
        <f>407*(1-P3/100)</f>
        <v>407</v>
      </c>
      <c r="N1912" s="15"/>
      <c r="O1912" s="13">
        <f t="shared" si="83"/>
        <v>0</v>
      </c>
      <c r="P1912" s="32">
        <f>0.23*N1912</f>
        <v>0</v>
      </c>
      <c r="Q1912" s="23">
        <f>0.00043*N1912</f>
        <v>0</v>
      </c>
      <c r="R1912" s="24"/>
      <c r="S1912" s="25" t="s">
        <v>8013</v>
      </c>
      <c r="T1912" s="25" t="s">
        <v>43</v>
      </c>
      <c r="U1912" s="5" t="s">
        <v>8007</v>
      </c>
      <c r="V1912" s="5" t="s">
        <v>8014</v>
      </c>
      <c r="W1912" s="5" t="s">
        <v>46</v>
      </c>
      <c r="X1912" s="5"/>
      <c r="Y1912" s="5"/>
      <c r="Z1912" s="5" t="str">
        <f>HYPERLINK("https://knigipp.ru/api/getInfo/image/72074ba7-0e3d-11f0-a279-00155d82e908")</f>
        <v>https://knigipp.ru/api/getInfo/image/72074ba7-0e3d-11f0-a279-00155d82e908</v>
      </c>
      <c r="AA1912" s="33">
        <v>112</v>
      </c>
      <c r="AB1912" s="5" t="s">
        <v>47</v>
      </c>
      <c r="AC1912" s="5" t="s">
        <v>86</v>
      </c>
      <c r="AD1912" s="5"/>
      <c r="AE1912" s="5" t="s">
        <v>49</v>
      </c>
      <c r="AF1912" s="5"/>
      <c r="AG1912" s="5"/>
      <c r="AH1912" s="5" t="s">
        <v>2408</v>
      </c>
    </row>
    <row r="1913" spans="2:35" ht="21" customHeight="1" outlineLevel="3" x14ac:dyDescent="0.2">
      <c r="B1913" s="42">
        <v>1491</v>
      </c>
      <c r="C1913" s="5" t="s">
        <v>8015</v>
      </c>
      <c r="D1913" s="5" t="s">
        <v>8016</v>
      </c>
      <c r="E1913" s="6" t="s">
        <v>8017</v>
      </c>
      <c r="F1913" s="10"/>
      <c r="G1913" s="11" t="s">
        <v>8018</v>
      </c>
      <c r="H1913" s="12">
        <v>20</v>
      </c>
      <c r="I1913" s="13" t="s">
        <v>41</v>
      </c>
      <c r="J1913" s="13"/>
      <c r="K1913" s="13"/>
      <c r="L1913" s="4">
        <v>3</v>
      </c>
      <c r="M1913" s="14">
        <f>207*(1-P3/100)</f>
        <v>207</v>
      </c>
      <c r="N1913" s="15"/>
      <c r="O1913" s="13">
        <f t="shared" si="83"/>
        <v>0</v>
      </c>
      <c r="P1913" s="22">
        <f>0.076*N1913</f>
        <v>0</v>
      </c>
      <c r="Q1913" s="23">
        <f>0.00024*N1913</f>
        <v>0</v>
      </c>
      <c r="R1913" s="24"/>
      <c r="S1913" s="25" t="s">
        <v>8019</v>
      </c>
      <c r="T1913" s="25" t="s">
        <v>43</v>
      </c>
      <c r="U1913" s="5" t="s">
        <v>8007</v>
      </c>
      <c r="V1913" s="5" t="s">
        <v>8020</v>
      </c>
      <c r="W1913" s="5" t="s">
        <v>46</v>
      </c>
      <c r="X1913" s="5" t="s">
        <v>323</v>
      </c>
      <c r="Y1913" s="5"/>
      <c r="Z1913" s="5" t="str">
        <f>HYPERLINK("https://knigipp.ru/api/getInfo/image/47ebbc08-977a-11ef-a267-00155d82e908")</f>
        <v>https://knigipp.ru/api/getInfo/image/47ebbc08-977a-11ef-a267-00155d82e908</v>
      </c>
      <c r="AA1913" s="33">
        <v>96</v>
      </c>
      <c r="AB1913" s="5" t="s">
        <v>47</v>
      </c>
      <c r="AC1913" s="5" t="s">
        <v>48</v>
      </c>
      <c r="AD1913" s="5"/>
      <c r="AE1913" s="5" t="s">
        <v>49</v>
      </c>
      <c r="AF1913" s="5"/>
      <c r="AG1913" s="5"/>
      <c r="AH1913" s="5" t="s">
        <v>8001</v>
      </c>
    </row>
    <row r="1914" spans="2:35" ht="22.95" customHeight="1" outlineLevel="2" x14ac:dyDescent="0.2">
      <c r="B1914" s="73" t="s">
        <v>8021</v>
      </c>
      <c r="C1914" s="73"/>
      <c r="D1914" s="73"/>
    </row>
    <row r="1915" spans="2:35" ht="22.95" customHeight="1" outlineLevel="3" x14ac:dyDescent="0.2">
      <c r="B1915" s="74" t="s">
        <v>8022</v>
      </c>
      <c r="C1915" s="74"/>
      <c r="D1915" s="74"/>
    </row>
    <row r="1916" spans="2:35" ht="21" customHeight="1" outlineLevel="4" x14ac:dyDescent="0.2">
      <c r="B1916" s="42">
        <v>1492</v>
      </c>
      <c r="C1916" s="5" t="s">
        <v>8023</v>
      </c>
      <c r="D1916" s="5" t="s">
        <v>8024</v>
      </c>
      <c r="E1916" s="6" t="s">
        <v>8025</v>
      </c>
      <c r="F1916" s="10"/>
      <c r="G1916" s="11" t="s">
        <v>8026</v>
      </c>
      <c r="H1916" s="12">
        <v>14</v>
      </c>
      <c r="I1916" s="13" t="s">
        <v>41</v>
      </c>
      <c r="J1916" s="13"/>
      <c r="K1916" s="13"/>
      <c r="L1916" s="4">
        <v>1</v>
      </c>
      <c r="M1916" s="14">
        <f>699*(1-P3/100)</f>
        <v>699</v>
      </c>
      <c r="N1916" s="15"/>
      <c r="O1916" s="13">
        <f>M1916*N1916</f>
        <v>0</v>
      </c>
      <c r="P1916" s="22">
        <f>0.429*N1916</f>
        <v>0</v>
      </c>
      <c r="Q1916" s="23">
        <f>0.00067*N1916</f>
        <v>0</v>
      </c>
      <c r="R1916" s="24"/>
      <c r="S1916" s="25" t="s">
        <v>8027</v>
      </c>
      <c r="T1916" s="25" t="s">
        <v>43</v>
      </c>
      <c r="U1916" s="5" t="s">
        <v>8028</v>
      </c>
      <c r="V1916" s="5" t="s">
        <v>8029</v>
      </c>
      <c r="W1916" s="5" t="s">
        <v>2731</v>
      </c>
      <c r="X1916" s="5"/>
      <c r="Y1916" s="5"/>
      <c r="Z1916" s="5" t="str">
        <f>HYPERLINK("https://knigipp.ru/api/getInfo/image/3f502719-3557-11ef-a261-00155d82e908")</f>
        <v>https://knigipp.ru/api/getInfo/image/3f502719-3557-11ef-a261-00155d82e908</v>
      </c>
      <c r="AA1916" s="33">
        <v>320</v>
      </c>
      <c r="AB1916" s="5" t="s">
        <v>598</v>
      </c>
      <c r="AC1916" s="5" t="s">
        <v>86</v>
      </c>
      <c r="AD1916" s="5"/>
      <c r="AE1916" s="5" t="s">
        <v>49</v>
      </c>
      <c r="AF1916" s="5"/>
      <c r="AG1916" s="5"/>
      <c r="AH1916" s="5" t="s">
        <v>8030</v>
      </c>
    </row>
    <row r="1917" spans="2:35" ht="21" customHeight="1" outlineLevel="4" x14ac:dyDescent="0.2">
      <c r="B1917" s="42">
        <v>1493</v>
      </c>
      <c r="C1917" s="5" t="s">
        <v>8031</v>
      </c>
      <c r="D1917" s="5" t="s">
        <v>8032</v>
      </c>
      <c r="E1917" s="6" t="s">
        <v>8033</v>
      </c>
      <c r="F1917" s="10"/>
      <c r="G1917" s="11" t="s">
        <v>8034</v>
      </c>
      <c r="H1917" s="12">
        <v>14</v>
      </c>
      <c r="I1917" s="13" t="s">
        <v>41</v>
      </c>
      <c r="J1917" s="13"/>
      <c r="K1917" s="13"/>
      <c r="L1917" s="4">
        <v>1</v>
      </c>
      <c r="M1917" s="14">
        <f>699*(1-P3/100)</f>
        <v>699</v>
      </c>
      <c r="N1917" s="15"/>
      <c r="O1917" s="13">
        <f>M1917*N1917</f>
        <v>0</v>
      </c>
      <c r="P1917" s="22">
        <f>0.401*N1917</f>
        <v>0</v>
      </c>
      <c r="Q1917" s="23">
        <f>0.00066*N1917</f>
        <v>0</v>
      </c>
      <c r="R1917" s="24"/>
      <c r="S1917" s="25" t="s">
        <v>8035</v>
      </c>
      <c r="T1917" s="25" t="s">
        <v>43</v>
      </c>
      <c r="U1917" s="5" t="s">
        <v>7922</v>
      </c>
      <c r="V1917" s="5" t="s">
        <v>8036</v>
      </c>
      <c r="W1917" s="5" t="s">
        <v>2731</v>
      </c>
      <c r="X1917" s="5"/>
      <c r="Y1917" s="5"/>
      <c r="Z1917" s="5" t="str">
        <f>HYPERLINK("https://knigipp.ru/api/getInfo/image/36358ddc-4f1e-11ef-a262-00155d82e908")</f>
        <v>https://knigipp.ru/api/getInfo/image/36358ddc-4f1e-11ef-a262-00155d82e908</v>
      </c>
      <c r="AA1917" s="33">
        <v>320</v>
      </c>
      <c r="AB1917" s="5" t="s">
        <v>598</v>
      </c>
      <c r="AC1917" s="5" t="s">
        <v>86</v>
      </c>
      <c r="AD1917" s="5"/>
      <c r="AE1917" s="5" t="s">
        <v>49</v>
      </c>
      <c r="AF1917" s="5"/>
      <c r="AG1917" s="5"/>
      <c r="AH1917" s="5" t="s">
        <v>8030</v>
      </c>
    </row>
    <row r="1918" spans="2:35" ht="21" customHeight="1" outlineLevel="4" x14ac:dyDescent="0.2">
      <c r="B1918" s="42">
        <v>1494</v>
      </c>
      <c r="C1918" s="5" t="s">
        <v>8031</v>
      </c>
      <c r="D1918" s="5" t="s">
        <v>8032</v>
      </c>
      <c r="E1918" s="6" t="s">
        <v>8033</v>
      </c>
      <c r="F1918" s="10"/>
      <c r="G1918" s="11" t="s">
        <v>8034</v>
      </c>
      <c r="H1918" s="12">
        <v>10</v>
      </c>
      <c r="I1918" s="13" t="s">
        <v>41</v>
      </c>
      <c r="J1918" s="13"/>
      <c r="K1918" s="13"/>
      <c r="L1918" s="4">
        <v>1</v>
      </c>
      <c r="M1918" s="14">
        <f>699*(1-P3/100)</f>
        <v>699</v>
      </c>
      <c r="N1918" s="15"/>
      <c r="O1918" s="13">
        <f>M1918*N1918</f>
        <v>0</v>
      </c>
      <c r="P1918" s="22">
        <f>0.401*N1918</f>
        <v>0</v>
      </c>
      <c r="Q1918" s="23">
        <f>0.00066*N1918</f>
        <v>0</v>
      </c>
      <c r="R1918" s="24"/>
      <c r="S1918" s="25" t="s">
        <v>8035</v>
      </c>
      <c r="T1918" s="25" t="s">
        <v>43</v>
      </c>
      <c r="U1918" s="5" t="s">
        <v>7922</v>
      </c>
      <c r="V1918" s="5" t="s">
        <v>8036</v>
      </c>
      <c r="W1918" s="5" t="s">
        <v>2731</v>
      </c>
      <c r="X1918" s="5"/>
      <c r="Y1918" s="5"/>
      <c r="Z1918" s="5" t="str">
        <f>HYPERLINK("https://knigipp.ru/api/getInfo/image/36358ddc-4f1e-11ef-a262-00155d82e908")</f>
        <v>https://knigipp.ru/api/getInfo/image/36358ddc-4f1e-11ef-a262-00155d82e908</v>
      </c>
      <c r="AA1918" s="33">
        <v>320</v>
      </c>
      <c r="AB1918" s="5" t="s">
        <v>598</v>
      </c>
      <c r="AC1918" s="5" t="s">
        <v>86</v>
      </c>
      <c r="AD1918" s="5"/>
      <c r="AE1918" s="5" t="s">
        <v>49</v>
      </c>
      <c r="AF1918" s="5"/>
      <c r="AG1918" s="5"/>
      <c r="AH1918" s="5" t="s">
        <v>8030</v>
      </c>
    </row>
    <row r="1919" spans="2:35" ht="22.95" customHeight="1" outlineLevel="3" x14ac:dyDescent="0.2">
      <c r="B1919" s="74" t="s">
        <v>8037</v>
      </c>
      <c r="C1919" s="74"/>
      <c r="D1919" s="74"/>
    </row>
    <row r="1920" spans="2:35" ht="21" customHeight="1" outlineLevel="4" x14ac:dyDescent="0.2">
      <c r="B1920" s="43">
        <v>1495</v>
      </c>
      <c r="C1920" s="8" t="s">
        <v>8038</v>
      </c>
      <c r="D1920" s="8" t="s">
        <v>8039</v>
      </c>
      <c r="E1920" s="9" t="s">
        <v>8040</v>
      </c>
      <c r="F1920" s="16"/>
      <c r="G1920" s="17" t="s">
        <v>8041</v>
      </c>
      <c r="H1920" s="18">
        <v>10</v>
      </c>
      <c r="I1920" s="19" t="s">
        <v>371</v>
      </c>
      <c r="J1920" s="19"/>
      <c r="K1920" s="19"/>
      <c r="L1920" s="7">
        <v>2</v>
      </c>
      <c r="M1920" s="21">
        <f>447*(1-P3/100)</f>
        <v>447</v>
      </c>
      <c r="N1920" s="15"/>
      <c r="O1920" s="19">
        <f>M1920*N1920</f>
        <v>0</v>
      </c>
      <c r="P1920" s="26">
        <f>0.338*N1920</f>
        <v>0</v>
      </c>
      <c r="Q1920" s="27">
        <f>0.00082*N1920</f>
        <v>0</v>
      </c>
      <c r="R1920" s="28" t="s">
        <v>81</v>
      </c>
      <c r="S1920" s="29" t="s">
        <v>8042</v>
      </c>
      <c r="T1920" s="29" t="s">
        <v>43</v>
      </c>
      <c r="U1920" s="8" t="s">
        <v>7922</v>
      </c>
      <c r="V1920" s="8" t="s">
        <v>8043</v>
      </c>
      <c r="W1920" s="8" t="s">
        <v>2731</v>
      </c>
      <c r="X1920" s="8"/>
      <c r="Y1920" s="8"/>
      <c r="Z1920" s="8" t="str">
        <f>HYPERLINK("https://knigipp.ru/api/getInfo/image/77e69af5-8fd4-11f0-a284-00155d82e908")</f>
        <v>https://knigipp.ru/api/getInfo/image/77e69af5-8fd4-11f0-a284-00155d82e908</v>
      </c>
      <c r="AA1920" s="34">
        <v>352</v>
      </c>
      <c r="AB1920" s="8" t="s">
        <v>1768</v>
      </c>
      <c r="AC1920" s="8" t="s">
        <v>48</v>
      </c>
      <c r="AD1920" s="8"/>
      <c r="AE1920" s="8" t="s">
        <v>49</v>
      </c>
      <c r="AF1920" s="8"/>
      <c r="AG1920" s="8"/>
      <c r="AH1920" s="8" t="s">
        <v>8044</v>
      </c>
      <c r="AI1920" s="55"/>
    </row>
    <row r="1921" spans="2:35" ht="21" customHeight="1" outlineLevel="4" x14ac:dyDescent="0.2">
      <c r="B1921" s="42">
        <v>1496</v>
      </c>
      <c r="C1921" s="5" t="s">
        <v>8045</v>
      </c>
      <c r="D1921" s="5" t="s">
        <v>8046</v>
      </c>
      <c r="E1921" s="6" t="s">
        <v>8047</v>
      </c>
      <c r="F1921" s="10"/>
      <c r="G1921" s="11" t="s">
        <v>8048</v>
      </c>
      <c r="H1921" s="12">
        <v>20</v>
      </c>
      <c r="I1921" s="13" t="s">
        <v>371</v>
      </c>
      <c r="J1921" s="13"/>
      <c r="K1921" s="13"/>
      <c r="L1921" s="4">
        <v>2</v>
      </c>
      <c r="M1921" s="14">
        <f>317*(1-P3/100)</f>
        <v>317</v>
      </c>
      <c r="N1921" s="15"/>
      <c r="O1921" s="13">
        <f>M1921*N1921</f>
        <v>0</v>
      </c>
      <c r="P1921" s="22">
        <f>0.271*N1921</f>
        <v>0</v>
      </c>
      <c r="Q1921" s="23">
        <f>0.00044*N1921</f>
        <v>0</v>
      </c>
      <c r="R1921" s="24"/>
      <c r="S1921" s="25" t="s">
        <v>8049</v>
      </c>
      <c r="T1921" s="25" t="s">
        <v>43</v>
      </c>
      <c r="U1921" s="5" t="s">
        <v>7922</v>
      </c>
      <c r="V1921" s="5" t="s">
        <v>8050</v>
      </c>
      <c r="W1921" s="5" t="s">
        <v>2731</v>
      </c>
      <c r="X1921" s="5" t="s">
        <v>8051</v>
      </c>
      <c r="Y1921" s="5"/>
      <c r="Z1921" s="5" t="str">
        <f>HYPERLINK("https://knigipp.ru/api/getInfo/image/758434f3-9785-11ef-a267-00155d82e908")</f>
        <v>https://knigipp.ru/api/getInfo/image/758434f3-9785-11ef-a267-00155d82e908</v>
      </c>
      <c r="AA1921" s="33">
        <v>128</v>
      </c>
      <c r="AB1921" s="5" t="s">
        <v>1768</v>
      </c>
      <c r="AC1921" s="5" t="s">
        <v>48</v>
      </c>
      <c r="AD1921" s="5"/>
      <c r="AE1921" s="5" t="s">
        <v>49</v>
      </c>
      <c r="AF1921" s="5"/>
      <c r="AG1921" s="5"/>
      <c r="AH1921" s="5" t="s">
        <v>8052</v>
      </c>
    </row>
    <row r="1922" spans="2:35" ht="21" customHeight="1" outlineLevel="4" x14ac:dyDescent="0.2">
      <c r="B1922" s="42">
        <v>1497</v>
      </c>
      <c r="C1922" s="5" t="s">
        <v>8053</v>
      </c>
      <c r="D1922" s="5" t="s">
        <v>8054</v>
      </c>
      <c r="E1922" s="6" t="s">
        <v>8055</v>
      </c>
      <c r="F1922" s="10"/>
      <c r="G1922" s="11" t="s">
        <v>8056</v>
      </c>
      <c r="H1922" s="12">
        <v>20</v>
      </c>
      <c r="I1922" s="13" t="s">
        <v>41</v>
      </c>
      <c r="J1922" s="13"/>
      <c r="K1922" s="13"/>
      <c r="L1922" s="4">
        <v>2</v>
      </c>
      <c r="M1922" s="14">
        <f>317*(1-P3/100)</f>
        <v>317</v>
      </c>
      <c r="N1922" s="15"/>
      <c r="O1922" s="13">
        <f>M1922*N1922</f>
        <v>0</v>
      </c>
      <c r="P1922" s="22">
        <f>0.137*N1922</f>
        <v>0</v>
      </c>
      <c r="Q1922" s="23">
        <f>0.00075*N1922</f>
        <v>0</v>
      </c>
      <c r="R1922" s="24"/>
      <c r="S1922" s="25" t="s">
        <v>8057</v>
      </c>
      <c r="T1922" s="25" t="s">
        <v>43</v>
      </c>
      <c r="U1922" s="5" t="s">
        <v>7922</v>
      </c>
      <c r="V1922" s="5" t="s">
        <v>8058</v>
      </c>
      <c r="W1922" s="5" t="s">
        <v>2731</v>
      </c>
      <c r="X1922" s="5"/>
      <c r="Y1922" s="5"/>
      <c r="Z1922" s="5" t="str">
        <f>HYPERLINK("https://knigipp.ru/api/getInfo/image/3b239569-0e32-11f0-a279-00155d82e908")</f>
        <v>https://knigipp.ru/api/getInfo/image/3b239569-0e32-11f0-a279-00155d82e908</v>
      </c>
      <c r="AA1922" s="33">
        <v>128</v>
      </c>
      <c r="AB1922" s="5" t="s">
        <v>1768</v>
      </c>
      <c r="AC1922" s="5" t="s">
        <v>48</v>
      </c>
      <c r="AD1922" s="5"/>
      <c r="AE1922" s="5" t="s">
        <v>49</v>
      </c>
      <c r="AF1922" s="5"/>
      <c r="AG1922" s="5"/>
      <c r="AH1922" s="5" t="s">
        <v>8044</v>
      </c>
    </row>
    <row r="1923" spans="2:35" ht="21" customHeight="1" outlineLevel="4" x14ac:dyDescent="0.2">
      <c r="B1923" s="43">
        <v>1498</v>
      </c>
      <c r="C1923" s="8" t="s">
        <v>8059</v>
      </c>
      <c r="D1923" s="8" t="s">
        <v>8060</v>
      </c>
      <c r="E1923" s="9" t="s">
        <v>8061</v>
      </c>
      <c r="F1923" s="16"/>
      <c r="G1923" s="17" t="s">
        <v>8062</v>
      </c>
      <c r="H1923" s="18">
        <v>10</v>
      </c>
      <c r="I1923" s="19" t="s">
        <v>41</v>
      </c>
      <c r="J1923" s="19"/>
      <c r="K1923" s="19"/>
      <c r="L1923" s="7">
        <v>2</v>
      </c>
      <c r="M1923" s="21">
        <f>317*(1-P3/100)</f>
        <v>317</v>
      </c>
      <c r="N1923" s="15"/>
      <c r="O1923" s="19">
        <f>M1923*N1923</f>
        <v>0</v>
      </c>
      <c r="P1923" s="26">
        <f>0.138*N1923</f>
        <v>0</v>
      </c>
      <c r="Q1923" s="27">
        <f>0.00035*N1923</f>
        <v>0</v>
      </c>
      <c r="R1923" s="28" t="s">
        <v>81</v>
      </c>
      <c r="S1923" s="29" t="s">
        <v>8063</v>
      </c>
      <c r="T1923" s="29" t="s">
        <v>43</v>
      </c>
      <c r="U1923" s="8" t="s">
        <v>8064</v>
      </c>
      <c r="V1923" s="8" t="s">
        <v>8065</v>
      </c>
      <c r="W1923" s="8" t="s">
        <v>2731</v>
      </c>
      <c r="X1923" s="8"/>
      <c r="Y1923" s="8"/>
      <c r="Z1923" s="8" t="str">
        <f>HYPERLINK("https://knigipp.ru/api/getInfo/image/a823dbb8-8fd4-11f0-a284-00155d82e908")</f>
        <v>https://knigipp.ru/api/getInfo/image/a823dbb8-8fd4-11f0-a284-00155d82e908</v>
      </c>
      <c r="AA1923" s="34">
        <v>128</v>
      </c>
      <c r="AB1923" s="8" t="s">
        <v>1768</v>
      </c>
      <c r="AC1923" s="8" t="s">
        <v>48</v>
      </c>
      <c r="AD1923" s="8"/>
      <c r="AE1923" s="8" t="s">
        <v>49</v>
      </c>
      <c r="AF1923" s="8"/>
      <c r="AG1923" s="8"/>
      <c r="AH1923" s="8" t="s">
        <v>8044</v>
      </c>
      <c r="AI1923" s="55"/>
    </row>
    <row r="1924" spans="2:35" ht="22.95" customHeight="1" outlineLevel="3" x14ac:dyDescent="0.2">
      <c r="B1924" s="74" t="s">
        <v>8066</v>
      </c>
      <c r="C1924" s="74"/>
      <c r="D1924" s="74"/>
    </row>
    <row r="1925" spans="2:35" ht="21" customHeight="1" outlineLevel="4" x14ac:dyDescent="0.2">
      <c r="B1925" s="42">
        <v>1499</v>
      </c>
      <c r="C1925" s="5" t="s">
        <v>8067</v>
      </c>
      <c r="D1925" s="5" t="s">
        <v>8068</v>
      </c>
      <c r="E1925" s="6" t="s">
        <v>8069</v>
      </c>
      <c r="F1925" s="10"/>
      <c r="G1925" s="11" t="s">
        <v>8070</v>
      </c>
      <c r="H1925" s="12">
        <v>20</v>
      </c>
      <c r="I1925" s="13" t="s">
        <v>41</v>
      </c>
      <c r="J1925" s="13"/>
      <c r="K1925" s="13"/>
      <c r="L1925" s="4">
        <v>2</v>
      </c>
      <c r="M1925" s="14">
        <f>299*(1-P3/100)</f>
        <v>299</v>
      </c>
      <c r="N1925" s="15"/>
      <c r="O1925" s="13">
        <f>M1925*N1925</f>
        <v>0</v>
      </c>
      <c r="P1925" s="22">
        <f>0.298*N1925</f>
        <v>0</v>
      </c>
      <c r="Q1925" s="23">
        <f>0.00047*N1925</f>
        <v>0</v>
      </c>
      <c r="R1925" s="24"/>
      <c r="S1925" s="25" t="s">
        <v>8071</v>
      </c>
      <c r="T1925" s="25" t="s">
        <v>43</v>
      </c>
      <c r="U1925" s="5" t="s">
        <v>8072</v>
      </c>
      <c r="V1925" s="5" t="s">
        <v>8073</v>
      </c>
      <c r="W1925" s="5" t="s">
        <v>46</v>
      </c>
      <c r="X1925" s="5"/>
      <c r="Y1925" s="5"/>
      <c r="Z1925" s="5" t="str">
        <f>HYPERLINK("https://knigipp.ru/api/getInfo/image/237f53bb-3063-11ee-a23e-00155d82e902")</f>
        <v>https://knigipp.ru/api/getInfo/image/237f53bb-3063-11ee-a23e-00155d82e902</v>
      </c>
      <c r="AA1925" s="33">
        <v>144</v>
      </c>
      <c r="AB1925" s="5" t="s">
        <v>574</v>
      </c>
      <c r="AC1925" s="5" t="s">
        <v>86</v>
      </c>
      <c r="AD1925" s="5"/>
      <c r="AE1925" s="5" t="s">
        <v>49</v>
      </c>
      <c r="AF1925" s="5"/>
      <c r="AG1925" s="5"/>
      <c r="AH1925" s="5" t="s">
        <v>8074</v>
      </c>
    </row>
    <row r="1926" spans="2:35" ht="21" customHeight="1" outlineLevel="4" x14ac:dyDescent="0.2">
      <c r="B1926" s="42">
        <v>1500</v>
      </c>
      <c r="C1926" s="5" t="s">
        <v>8075</v>
      </c>
      <c r="D1926" s="5" t="s">
        <v>8076</v>
      </c>
      <c r="E1926" s="6" t="s">
        <v>8077</v>
      </c>
      <c r="F1926" s="10"/>
      <c r="G1926" s="11" t="s">
        <v>8078</v>
      </c>
      <c r="H1926" s="12">
        <v>20</v>
      </c>
      <c r="I1926" s="13" t="s">
        <v>41</v>
      </c>
      <c r="J1926" s="13"/>
      <c r="K1926" s="13"/>
      <c r="L1926" s="4">
        <v>3</v>
      </c>
      <c r="M1926" s="14">
        <f>249*(1-P3/100)</f>
        <v>249</v>
      </c>
      <c r="N1926" s="15"/>
      <c r="O1926" s="13">
        <f>M1926*N1926</f>
        <v>0</v>
      </c>
      <c r="P1926" s="22">
        <f>0.194*N1926</f>
        <v>0</v>
      </c>
      <c r="Q1926" s="23">
        <f>0.00033*N1926</f>
        <v>0</v>
      </c>
      <c r="R1926" s="24"/>
      <c r="S1926" s="25" t="s">
        <v>8079</v>
      </c>
      <c r="T1926" s="25" t="s">
        <v>43</v>
      </c>
      <c r="U1926" s="5" t="s">
        <v>8080</v>
      </c>
      <c r="V1926" s="5" t="s">
        <v>8081</v>
      </c>
      <c r="W1926" s="5" t="s">
        <v>46</v>
      </c>
      <c r="X1926" s="5"/>
      <c r="Y1926" s="5"/>
      <c r="Z1926" s="5" t="str">
        <f>HYPERLINK("https://knigipp.ru/api/getInfo/image/fff447a0-d7cd-11ee-a25a-00155d82e908")</f>
        <v>https://knigipp.ru/api/getInfo/image/fff447a0-d7cd-11ee-a25a-00155d82e908</v>
      </c>
      <c r="AA1926" s="33">
        <v>80</v>
      </c>
      <c r="AB1926" s="5" t="s">
        <v>574</v>
      </c>
      <c r="AC1926" s="5" t="s">
        <v>86</v>
      </c>
      <c r="AD1926" s="5"/>
      <c r="AE1926" s="5" t="s">
        <v>49</v>
      </c>
      <c r="AF1926" s="5"/>
      <c r="AG1926" s="5"/>
      <c r="AH1926" s="5" t="s">
        <v>8082</v>
      </c>
    </row>
    <row r="1927" spans="2:35" ht="21" customHeight="1" outlineLevel="4" x14ac:dyDescent="0.2">
      <c r="B1927" s="42">
        <v>1501</v>
      </c>
      <c r="C1927" s="5" t="s">
        <v>8083</v>
      </c>
      <c r="D1927" s="5" t="s">
        <v>8084</v>
      </c>
      <c r="E1927" s="6" t="s">
        <v>8085</v>
      </c>
      <c r="F1927" s="10"/>
      <c r="G1927" s="11" t="s">
        <v>8086</v>
      </c>
      <c r="H1927" s="12">
        <v>20</v>
      </c>
      <c r="I1927" s="13" t="s">
        <v>41</v>
      </c>
      <c r="J1927" s="13"/>
      <c r="K1927" s="13"/>
      <c r="L1927" s="4">
        <v>3</v>
      </c>
      <c r="M1927" s="14">
        <f>249*(1-P3/100)</f>
        <v>249</v>
      </c>
      <c r="N1927" s="15"/>
      <c r="O1927" s="13">
        <f>M1927*N1927</f>
        <v>0</v>
      </c>
      <c r="P1927" s="13">
        <v>0</v>
      </c>
      <c r="Q1927" s="13">
        <v>0</v>
      </c>
      <c r="R1927" s="24"/>
      <c r="S1927" s="25" t="s">
        <v>8087</v>
      </c>
      <c r="T1927" s="25" t="s">
        <v>43</v>
      </c>
      <c r="U1927" s="5" t="s">
        <v>8080</v>
      </c>
      <c r="V1927" s="5" t="s">
        <v>8088</v>
      </c>
      <c r="W1927" s="5" t="s">
        <v>46</v>
      </c>
      <c r="X1927" s="5"/>
      <c r="Y1927" s="5"/>
      <c r="Z1927" s="5" t="str">
        <f>HYPERLINK("https://knigipp.ru/api/getInfo/image/65bb9f24-4d4c-11ee-a244-00155d82e902")</f>
        <v>https://knigipp.ru/api/getInfo/image/65bb9f24-4d4c-11ee-a244-00155d82e902</v>
      </c>
      <c r="AA1927" s="33">
        <v>96</v>
      </c>
      <c r="AB1927" s="5" t="s">
        <v>574</v>
      </c>
      <c r="AC1927" s="5" t="s">
        <v>86</v>
      </c>
      <c r="AD1927" s="5"/>
      <c r="AE1927" s="5" t="s">
        <v>49</v>
      </c>
      <c r="AF1927" s="5"/>
      <c r="AG1927" s="5"/>
      <c r="AH1927" s="5" t="s">
        <v>8082</v>
      </c>
    </row>
    <row r="1928" spans="2:35" ht="22.95" customHeight="1" outlineLevel="3" x14ac:dyDescent="0.2">
      <c r="B1928" s="74" t="s">
        <v>8089</v>
      </c>
      <c r="C1928" s="74"/>
      <c r="D1928" s="74"/>
    </row>
    <row r="1929" spans="2:35" ht="21" customHeight="1" outlineLevel="4" x14ac:dyDescent="0.2">
      <c r="B1929" s="42">
        <v>1502</v>
      </c>
      <c r="C1929" s="5" t="s">
        <v>8090</v>
      </c>
      <c r="D1929" s="5" t="s">
        <v>8091</v>
      </c>
      <c r="E1929" s="6" t="s">
        <v>8092</v>
      </c>
      <c r="F1929" s="10"/>
      <c r="G1929" s="11" t="s">
        <v>8093</v>
      </c>
      <c r="H1929" s="12">
        <v>20</v>
      </c>
      <c r="I1929" s="13" t="s">
        <v>41</v>
      </c>
      <c r="J1929" s="13"/>
      <c r="K1929" s="13"/>
      <c r="L1929" s="4">
        <v>2</v>
      </c>
      <c r="M1929" s="14">
        <f>384*(1-P3/100)</f>
        <v>384</v>
      </c>
      <c r="N1929" s="15"/>
      <c r="O1929" s="13">
        <f t="shared" ref="O1929:O1939" si="84">M1929*N1929</f>
        <v>0</v>
      </c>
      <c r="P1929" s="22">
        <f>0.324*N1929</f>
        <v>0</v>
      </c>
      <c r="Q1929" s="23">
        <f>0.00055*N1929</f>
        <v>0</v>
      </c>
      <c r="R1929" s="24"/>
      <c r="S1929" s="25" t="s">
        <v>8094</v>
      </c>
      <c r="T1929" s="25" t="s">
        <v>43</v>
      </c>
      <c r="U1929" s="5" t="s">
        <v>7922</v>
      </c>
      <c r="V1929" s="5" t="s">
        <v>8095</v>
      </c>
      <c r="W1929" s="5" t="s">
        <v>2731</v>
      </c>
      <c r="X1929" s="5"/>
      <c r="Y1929" s="5"/>
      <c r="Z1929" s="5" t="str">
        <f>HYPERLINK("https://knigipp.ru/api/getInfo/image/d74cb13f-513a-11ed-a21d-ac1f6b442185")</f>
        <v>https://knigipp.ru/api/getInfo/image/d74cb13f-513a-11ed-a21d-ac1f6b442185</v>
      </c>
      <c r="AA1929" s="33">
        <v>128</v>
      </c>
      <c r="AB1929" s="5" t="s">
        <v>47</v>
      </c>
      <c r="AC1929" s="5" t="s">
        <v>86</v>
      </c>
      <c r="AD1929" s="5"/>
      <c r="AE1929" s="5" t="s">
        <v>49</v>
      </c>
      <c r="AF1929" s="5"/>
      <c r="AG1929" s="5"/>
      <c r="AH1929" s="5" t="s">
        <v>8096</v>
      </c>
    </row>
    <row r="1930" spans="2:35" ht="21" customHeight="1" outlineLevel="4" x14ac:dyDescent="0.2">
      <c r="B1930" s="42">
        <v>1503</v>
      </c>
      <c r="C1930" s="5" t="s">
        <v>8097</v>
      </c>
      <c r="D1930" s="5" t="s">
        <v>8098</v>
      </c>
      <c r="E1930" s="6" t="s">
        <v>8099</v>
      </c>
      <c r="F1930" s="10"/>
      <c r="G1930" s="11" t="s">
        <v>8100</v>
      </c>
      <c r="H1930" s="12">
        <v>20</v>
      </c>
      <c r="I1930" s="13" t="s">
        <v>41</v>
      </c>
      <c r="J1930" s="13"/>
      <c r="K1930" s="13"/>
      <c r="L1930" s="4">
        <v>2</v>
      </c>
      <c r="M1930" s="14">
        <f>384*(1-P3/100)</f>
        <v>384</v>
      </c>
      <c r="N1930" s="15"/>
      <c r="O1930" s="13">
        <f t="shared" si="84"/>
        <v>0</v>
      </c>
      <c r="P1930" s="22">
        <f>0.321*N1930</f>
        <v>0</v>
      </c>
      <c r="Q1930" s="23">
        <f>0.00051*N1930</f>
        <v>0</v>
      </c>
      <c r="R1930" s="24"/>
      <c r="S1930" s="25" t="s">
        <v>8101</v>
      </c>
      <c r="T1930" s="25" t="s">
        <v>43</v>
      </c>
      <c r="U1930" s="5" t="s">
        <v>8102</v>
      </c>
      <c r="V1930" s="5" t="s">
        <v>8103</v>
      </c>
      <c r="W1930" s="5" t="s">
        <v>2731</v>
      </c>
      <c r="X1930" s="5"/>
      <c r="Y1930" s="5"/>
      <c r="Z1930" s="5" t="str">
        <f>HYPERLINK("https://knigipp.ru/api/getInfo/image/2c973c14-cc09-11ee-a25a-00155d82e908")</f>
        <v>https://knigipp.ru/api/getInfo/image/2c973c14-cc09-11ee-a25a-00155d82e908</v>
      </c>
      <c r="AA1930" s="33">
        <v>128</v>
      </c>
      <c r="AB1930" s="5" t="s">
        <v>47</v>
      </c>
      <c r="AC1930" s="5" t="s">
        <v>86</v>
      </c>
      <c r="AD1930" s="5"/>
      <c r="AE1930" s="5" t="s">
        <v>49</v>
      </c>
      <c r="AF1930" s="5"/>
      <c r="AG1930" s="5"/>
      <c r="AH1930" s="5" t="s">
        <v>8096</v>
      </c>
    </row>
    <row r="1931" spans="2:35" ht="21" customHeight="1" outlineLevel="4" x14ac:dyDescent="0.2">
      <c r="B1931" s="42">
        <v>1504</v>
      </c>
      <c r="C1931" s="5" t="s">
        <v>8104</v>
      </c>
      <c r="D1931" s="5" t="s">
        <v>8105</v>
      </c>
      <c r="E1931" s="6" t="s">
        <v>8106</v>
      </c>
      <c r="F1931" s="10"/>
      <c r="G1931" s="11" t="s">
        <v>8107</v>
      </c>
      <c r="H1931" s="12">
        <v>20</v>
      </c>
      <c r="I1931" s="13" t="s">
        <v>41</v>
      </c>
      <c r="J1931" s="13"/>
      <c r="K1931" s="13"/>
      <c r="L1931" s="4">
        <v>2</v>
      </c>
      <c r="M1931" s="14">
        <f>384*(1-P3/100)</f>
        <v>384</v>
      </c>
      <c r="N1931" s="15"/>
      <c r="O1931" s="13">
        <f t="shared" si="84"/>
        <v>0</v>
      </c>
      <c r="P1931" s="22">
        <f>0.301*N1931</f>
        <v>0</v>
      </c>
      <c r="Q1931" s="23">
        <f>0.00058*N1931</f>
        <v>0</v>
      </c>
      <c r="R1931" s="24"/>
      <c r="S1931" s="25" t="s">
        <v>8108</v>
      </c>
      <c r="T1931" s="25" t="s">
        <v>43</v>
      </c>
      <c r="U1931" s="5" t="s">
        <v>8109</v>
      </c>
      <c r="V1931" s="5" t="s">
        <v>8110</v>
      </c>
      <c r="W1931" s="5" t="s">
        <v>2731</v>
      </c>
      <c r="X1931" s="5"/>
      <c r="Y1931" s="5"/>
      <c r="Z1931" s="5" t="str">
        <f>HYPERLINK("https://knigipp.ru/api/getInfo/image/44daf266-513b-11ed-a21d-ac1f6b442185")</f>
        <v>https://knigipp.ru/api/getInfo/image/44daf266-513b-11ed-a21d-ac1f6b442185</v>
      </c>
      <c r="AA1931" s="33">
        <v>128</v>
      </c>
      <c r="AB1931" s="5" t="s">
        <v>47</v>
      </c>
      <c r="AC1931" s="5" t="s">
        <v>86</v>
      </c>
      <c r="AD1931" s="5"/>
      <c r="AE1931" s="5" t="s">
        <v>49</v>
      </c>
      <c r="AF1931" s="5"/>
      <c r="AG1931" s="5"/>
      <c r="AH1931" s="5" t="s">
        <v>8096</v>
      </c>
    </row>
    <row r="1932" spans="2:35" ht="21" customHeight="1" outlineLevel="4" x14ac:dyDescent="0.2">
      <c r="B1932" s="42">
        <v>1505</v>
      </c>
      <c r="C1932" s="5" t="s">
        <v>8111</v>
      </c>
      <c r="D1932" s="5" t="s">
        <v>8112</v>
      </c>
      <c r="E1932" s="6" t="s">
        <v>8113</v>
      </c>
      <c r="F1932" s="10"/>
      <c r="G1932" s="11" t="s">
        <v>8114</v>
      </c>
      <c r="H1932" s="12">
        <v>20</v>
      </c>
      <c r="I1932" s="13" t="s">
        <v>41</v>
      </c>
      <c r="J1932" s="13"/>
      <c r="K1932" s="13"/>
      <c r="L1932" s="4">
        <v>2</v>
      </c>
      <c r="M1932" s="14">
        <f>357*(1-P3/100)</f>
        <v>357</v>
      </c>
      <c r="N1932" s="15"/>
      <c r="O1932" s="13">
        <f t="shared" si="84"/>
        <v>0</v>
      </c>
      <c r="P1932" s="22">
        <f>0.265*N1932</f>
        <v>0</v>
      </c>
      <c r="Q1932" s="23">
        <f>0.00031*N1932</f>
        <v>0</v>
      </c>
      <c r="R1932" s="24"/>
      <c r="S1932" s="25" t="s">
        <v>8115</v>
      </c>
      <c r="T1932" s="25" t="s">
        <v>43</v>
      </c>
      <c r="U1932" s="5" t="s">
        <v>7922</v>
      </c>
      <c r="V1932" s="5" t="s">
        <v>8116</v>
      </c>
      <c r="W1932" s="5" t="s">
        <v>46</v>
      </c>
      <c r="X1932" s="5"/>
      <c r="Y1932" s="5"/>
      <c r="Z1932" s="5" t="str">
        <f>HYPERLINK("https://knigipp.ru/api/getInfo/image/4fcfa28d-3a2d-11f0-a27c-00155d82e908")</f>
        <v>https://knigipp.ru/api/getInfo/image/4fcfa28d-3a2d-11f0-a27c-00155d82e908</v>
      </c>
      <c r="AA1932" s="33">
        <v>96</v>
      </c>
      <c r="AB1932" s="5" t="s">
        <v>47</v>
      </c>
      <c r="AC1932" s="5" t="s">
        <v>86</v>
      </c>
      <c r="AD1932" s="5"/>
      <c r="AE1932" s="5" t="s">
        <v>49</v>
      </c>
      <c r="AF1932" s="5"/>
      <c r="AG1932" s="5"/>
      <c r="AH1932" s="5" t="s">
        <v>8117</v>
      </c>
    </row>
    <row r="1933" spans="2:35" ht="21" customHeight="1" outlineLevel="4" x14ac:dyDescent="0.2">
      <c r="B1933" s="43">
        <v>1506</v>
      </c>
      <c r="C1933" s="8" t="s">
        <v>8118</v>
      </c>
      <c r="D1933" s="8" t="s">
        <v>8119</v>
      </c>
      <c r="E1933" s="9" t="s">
        <v>8120</v>
      </c>
      <c r="F1933" s="16"/>
      <c r="G1933" s="17" t="s">
        <v>8121</v>
      </c>
      <c r="H1933" s="18">
        <v>20</v>
      </c>
      <c r="I1933" s="19" t="s">
        <v>41</v>
      </c>
      <c r="J1933" s="19"/>
      <c r="K1933" s="19"/>
      <c r="L1933" s="7">
        <v>2</v>
      </c>
      <c r="M1933" s="21">
        <f>357*(1-P3/100)</f>
        <v>357</v>
      </c>
      <c r="N1933" s="15"/>
      <c r="O1933" s="19">
        <f t="shared" si="84"/>
        <v>0</v>
      </c>
      <c r="P1933" s="38">
        <f>0.27*N1933</f>
        <v>0</v>
      </c>
      <c r="Q1933" s="27">
        <f>0.00044*N1933</f>
        <v>0</v>
      </c>
      <c r="R1933" s="28" t="s">
        <v>81</v>
      </c>
      <c r="S1933" s="29" t="s">
        <v>8122</v>
      </c>
      <c r="T1933" s="29" t="s">
        <v>43</v>
      </c>
      <c r="U1933" s="8" t="s">
        <v>7922</v>
      </c>
      <c r="V1933" s="8" t="s">
        <v>8123</v>
      </c>
      <c r="W1933" s="8" t="s">
        <v>2731</v>
      </c>
      <c r="X1933" s="8"/>
      <c r="Y1933" s="8"/>
      <c r="Z1933" s="8" t="str">
        <f>HYPERLINK("https://knigipp.ru/api/getInfo/image/6a4e9228-9dfd-11f0-a285-00155d82e908")</f>
        <v>https://knigipp.ru/api/getInfo/image/6a4e9228-9dfd-11f0-a285-00155d82e908</v>
      </c>
      <c r="AA1933" s="34">
        <v>96</v>
      </c>
      <c r="AB1933" s="8" t="s">
        <v>47</v>
      </c>
      <c r="AC1933" s="8" t="s">
        <v>86</v>
      </c>
      <c r="AD1933" s="8"/>
      <c r="AE1933" s="8" t="s">
        <v>49</v>
      </c>
      <c r="AF1933" s="8"/>
      <c r="AG1933" s="8"/>
      <c r="AH1933" s="8" t="s">
        <v>130</v>
      </c>
      <c r="AI1933" s="55"/>
    </row>
    <row r="1934" spans="2:35" ht="21" customHeight="1" outlineLevel="4" x14ac:dyDescent="0.2">
      <c r="B1934" s="42">
        <v>1507</v>
      </c>
      <c r="C1934" s="5" t="s">
        <v>8124</v>
      </c>
      <c r="D1934" s="5" t="s">
        <v>8125</v>
      </c>
      <c r="E1934" s="6" t="s">
        <v>8126</v>
      </c>
      <c r="F1934" s="10"/>
      <c r="G1934" s="11" t="s">
        <v>8127</v>
      </c>
      <c r="H1934" s="12">
        <v>20</v>
      </c>
      <c r="I1934" s="13" t="s">
        <v>41</v>
      </c>
      <c r="J1934" s="13"/>
      <c r="K1934" s="13"/>
      <c r="L1934" s="4">
        <v>2</v>
      </c>
      <c r="M1934" s="14">
        <f>357*(1-P3/100)</f>
        <v>357</v>
      </c>
      <c r="N1934" s="15"/>
      <c r="O1934" s="13">
        <f t="shared" si="84"/>
        <v>0</v>
      </c>
      <c r="P1934" s="22">
        <f>0.231*N1934</f>
        <v>0</v>
      </c>
      <c r="Q1934" s="23">
        <f>0.00028*N1934</f>
        <v>0</v>
      </c>
      <c r="R1934" s="24"/>
      <c r="S1934" s="25" t="s">
        <v>8128</v>
      </c>
      <c r="T1934" s="25" t="s">
        <v>43</v>
      </c>
      <c r="U1934" s="5" t="s">
        <v>8129</v>
      </c>
      <c r="V1934" s="5" t="s">
        <v>8130</v>
      </c>
      <c r="W1934" s="5" t="s">
        <v>2731</v>
      </c>
      <c r="X1934" s="5"/>
      <c r="Y1934" s="5"/>
      <c r="Z1934" s="5" t="str">
        <f>HYPERLINK("https://knigipp.ru/api/getInfo/image/aef3a32b-ae4d-11ef-a267-00155d82e908")</f>
        <v>https://knigipp.ru/api/getInfo/image/aef3a32b-ae4d-11ef-a267-00155d82e908</v>
      </c>
      <c r="AA1934" s="33">
        <v>96</v>
      </c>
      <c r="AB1934" s="5" t="s">
        <v>47</v>
      </c>
      <c r="AC1934" s="5" t="s">
        <v>86</v>
      </c>
      <c r="AD1934" s="5"/>
      <c r="AE1934" s="5" t="s">
        <v>49</v>
      </c>
      <c r="AF1934" s="5"/>
      <c r="AG1934" s="5"/>
      <c r="AH1934" s="5" t="s">
        <v>130</v>
      </c>
    </row>
    <row r="1935" spans="2:35" ht="21" customHeight="1" outlineLevel="4" x14ac:dyDescent="0.2">
      <c r="B1935" s="42">
        <v>1508</v>
      </c>
      <c r="C1935" s="5" t="s">
        <v>8131</v>
      </c>
      <c r="D1935" s="5" t="s">
        <v>8132</v>
      </c>
      <c r="E1935" s="6" t="s">
        <v>8133</v>
      </c>
      <c r="F1935" s="10"/>
      <c r="G1935" s="11" t="s">
        <v>8134</v>
      </c>
      <c r="H1935" s="12">
        <v>20</v>
      </c>
      <c r="I1935" s="13" t="s">
        <v>41</v>
      </c>
      <c r="J1935" s="13"/>
      <c r="K1935" s="13"/>
      <c r="L1935" s="4">
        <v>2</v>
      </c>
      <c r="M1935" s="14">
        <f>357*(1-P3/100)</f>
        <v>357</v>
      </c>
      <c r="N1935" s="15"/>
      <c r="O1935" s="13">
        <f t="shared" si="84"/>
        <v>0</v>
      </c>
      <c r="P1935" s="22">
        <f>0.262*N1935</f>
        <v>0</v>
      </c>
      <c r="Q1935" s="23">
        <f>0.00047*N1935</f>
        <v>0</v>
      </c>
      <c r="R1935" s="24"/>
      <c r="S1935" s="25" t="s">
        <v>8135</v>
      </c>
      <c r="T1935" s="25" t="s">
        <v>43</v>
      </c>
      <c r="U1935" s="5" t="s">
        <v>7922</v>
      </c>
      <c r="V1935" s="5" t="s">
        <v>8136</v>
      </c>
      <c r="W1935" s="5" t="s">
        <v>2731</v>
      </c>
      <c r="X1935" s="5" t="s">
        <v>8137</v>
      </c>
      <c r="Y1935" s="5"/>
      <c r="Z1935" s="5" t="str">
        <f>HYPERLINK("https://knigipp.ru/api/getInfo/image/898c1592-991e-11ef-a267-00155d82e908")</f>
        <v>https://knigipp.ru/api/getInfo/image/898c1592-991e-11ef-a267-00155d82e908</v>
      </c>
      <c r="AA1935" s="33">
        <v>96</v>
      </c>
      <c r="AB1935" s="5" t="s">
        <v>47</v>
      </c>
      <c r="AC1935" s="5" t="s">
        <v>86</v>
      </c>
      <c r="AD1935" s="5"/>
      <c r="AE1935" s="5" t="s">
        <v>49</v>
      </c>
      <c r="AF1935" s="5"/>
      <c r="AG1935" s="5"/>
      <c r="AH1935" s="5" t="s">
        <v>8117</v>
      </c>
    </row>
    <row r="1936" spans="2:35" ht="21" customHeight="1" outlineLevel="4" x14ac:dyDescent="0.2">
      <c r="B1936" s="42">
        <v>1509</v>
      </c>
      <c r="C1936" s="5" t="s">
        <v>8138</v>
      </c>
      <c r="D1936" s="5" t="s">
        <v>8139</v>
      </c>
      <c r="E1936" s="6" t="s">
        <v>8140</v>
      </c>
      <c r="F1936" s="10"/>
      <c r="G1936" s="11" t="s">
        <v>8141</v>
      </c>
      <c r="H1936" s="12">
        <v>20</v>
      </c>
      <c r="I1936" s="13" t="s">
        <v>41</v>
      </c>
      <c r="J1936" s="13"/>
      <c r="K1936" s="13"/>
      <c r="L1936" s="4">
        <v>2</v>
      </c>
      <c r="M1936" s="14">
        <f>384*(1-P3/100)</f>
        <v>384</v>
      </c>
      <c r="N1936" s="15"/>
      <c r="O1936" s="13">
        <f t="shared" si="84"/>
        <v>0</v>
      </c>
      <c r="P1936" s="22">
        <f>0.325*N1936</f>
        <v>0</v>
      </c>
      <c r="Q1936" s="23">
        <f>0.00047*N1936</f>
        <v>0</v>
      </c>
      <c r="R1936" s="24"/>
      <c r="S1936" s="25" t="s">
        <v>8142</v>
      </c>
      <c r="T1936" s="25" t="s">
        <v>43</v>
      </c>
      <c r="U1936" s="5" t="s">
        <v>8143</v>
      </c>
      <c r="V1936" s="5" t="s">
        <v>8144</v>
      </c>
      <c r="W1936" s="5" t="s">
        <v>2731</v>
      </c>
      <c r="X1936" s="5"/>
      <c r="Y1936" s="5"/>
      <c r="Z1936" s="5" t="str">
        <f>HYPERLINK("https://knigipp.ru/api/getInfo/image/94fb8b98-513b-11ed-a21d-ac1f6b442185")</f>
        <v>https://knigipp.ru/api/getInfo/image/94fb8b98-513b-11ed-a21d-ac1f6b442185</v>
      </c>
      <c r="AA1936" s="33">
        <v>128</v>
      </c>
      <c r="AB1936" s="5" t="s">
        <v>47</v>
      </c>
      <c r="AC1936" s="5" t="s">
        <v>86</v>
      </c>
      <c r="AD1936" s="5"/>
      <c r="AE1936" s="5" t="s">
        <v>49</v>
      </c>
      <c r="AF1936" s="5"/>
      <c r="AG1936" s="5"/>
      <c r="AH1936" s="5" t="s">
        <v>8096</v>
      </c>
    </row>
    <row r="1937" spans="2:35" ht="21" customHeight="1" outlineLevel="4" x14ac:dyDescent="0.2">
      <c r="B1937" s="42">
        <v>1510</v>
      </c>
      <c r="C1937" s="5" t="s">
        <v>8145</v>
      </c>
      <c r="D1937" s="5" t="s">
        <v>8146</v>
      </c>
      <c r="E1937" s="6" t="s">
        <v>8147</v>
      </c>
      <c r="F1937" s="10"/>
      <c r="G1937" s="11" t="s">
        <v>8148</v>
      </c>
      <c r="H1937" s="12">
        <v>20</v>
      </c>
      <c r="I1937" s="13" t="s">
        <v>41</v>
      </c>
      <c r="J1937" s="13"/>
      <c r="K1937" s="13"/>
      <c r="L1937" s="4">
        <v>2</v>
      </c>
      <c r="M1937" s="14">
        <f>384*(1-P3/100)</f>
        <v>384</v>
      </c>
      <c r="N1937" s="15"/>
      <c r="O1937" s="13">
        <f t="shared" si="84"/>
        <v>0</v>
      </c>
      <c r="P1937" s="22">
        <f>0.324*N1937</f>
        <v>0</v>
      </c>
      <c r="Q1937" s="23">
        <f>0.00055*N1937</f>
        <v>0</v>
      </c>
      <c r="R1937" s="24"/>
      <c r="S1937" s="25" t="s">
        <v>8149</v>
      </c>
      <c r="T1937" s="25" t="s">
        <v>43</v>
      </c>
      <c r="U1937" s="5" t="s">
        <v>7922</v>
      </c>
      <c r="V1937" s="5" t="s">
        <v>8150</v>
      </c>
      <c r="W1937" s="5" t="s">
        <v>2731</v>
      </c>
      <c r="X1937" s="5" t="s">
        <v>2204</v>
      </c>
      <c r="Y1937" s="5"/>
      <c r="Z1937" s="5" t="str">
        <f>HYPERLINK("https://knigipp.ru/api/getInfo/image/a8ae5be0-66a2-11ee-a245-00155d82e902")</f>
        <v>https://knigipp.ru/api/getInfo/image/a8ae5be0-66a2-11ee-a245-00155d82e902</v>
      </c>
      <c r="AA1937" s="33">
        <v>128</v>
      </c>
      <c r="AB1937" s="5" t="s">
        <v>47</v>
      </c>
      <c r="AC1937" s="5" t="s">
        <v>86</v>
      </c>
      <c r="AD1937" s="5"/>
      <c r="AE1937" s="5" t="s">
        <v>49</v>
      </c>
      <c r="AF1937" s="5"/>
      <c r="AG1937" s="5"/>
      <c r="AH1937" s="5" t="s">
        <v>8096</v>
      </c>
    </row>
    <row r="1938" spans="2:35" ht="21" customHeight="1" outlineLevel="4" x14ac:dyDescent="0.2">
      <c r="B1938" s="42">
        <v>1511</v>
      </c>
      <c r="C1938" s="5" t="s">
        <v>8151</v>
      </c>
      <c r="D1938" s="5" t="s">
        <v>8152</v>
      </c>
      <c r="E1938" s="6" t="s">
        <v>8153</v>
      </c>
      <c r="F1938" s="10"/>
      <c r="G1938" s="11" t="s">
        <v>8154</v>
      </c>
      <c r="H1938" s="12">
        <v>20</v>
      </c>
      <c r="I1938" s="13" t="s">
        <v>41</v>
      </c>
      <c r="J1938" s="13"/>
      <c r="K1938" s="13"/>
      <c r="L1938" s="4">
        <v>2</v>
      </c>
      <c r="M1938" s="14">
        <f>384*(1-P3/100)</f>
        <v>384</v>
      </c>
      <c r="N1938" s="15"/>
      <c r="O1938" s="13">
        <f t="shared" si="84"/>
        <v>0</v>
      </c>
      <c r="P1938" s="22">
        <f>0.323*N1938</f>
        <v>0</v>
      </c>
      <c r="Q1938" s="23">
        <f>0.00051*N1938</f>
        <v>0</v>
      </c>
      <c r="R1938" s="24"/>
      <c r="S1938" s="25" t="s">
        <v>8155</v>
      </c>
      <c r="T1938" s="25" t="s">
        <v>43</v>
      </c>
      <c r="U1938" s="5" t="s">
        <v>7922</v>
      </c>
      <c r="V1938" s="5" t="s">
        <v>8156</v>
      </c>
      <c r="W1938" s="5" t="s">
        <v>2731</v>
      </c>
      <c r="X1938" s="5"/>
      <c r="Y1938" s="5"/>
      <c r="Z1938" s="5" t="str">
        <f>HYPERLINK("https://knigipp.ru/api/getInfo/image/10ef2ed5-513b-11ed-a21d-ac1f6b442185")</f>
        <v>https://knigipp.ru/api/getInfo/image/10ef2ed5-513b-11ed-a21d-ac1f6b442185</v>
      </c>
      <c r="AA1938" s="33">
        <v>128</v>
      </c>
      <c r="AB1938" s="5" t="s">
        <v>47</v>
      </c>
      <c r="AC1938" s="5" t="s">
        <v>86</v>
      </c>
      <c r="AD1938" s="5"/>
      <c r="AE1938" s="5" t="s">
        <v>49</v>
      </c>
      <c r="AF1938" s="5"/>
      <c r="AG1938" s="5"/>
      <c r="AH1938" s="5" t="s">
        <v>8096</v>
      </c>
    </row>
    <row r="1939" spans="2:35" ht="21" customHeight="1" outlineLevel="4" x14ac:dyDescent="0.2">
      <c r="B1939" s="42">
        <v>1512</v>
      </c>
      <c r="C1939" s="5" t="s">
        <v>8157</v>
      </c>
      <c r="D1939" s="5" t="s">
        <v>8158</v>
      </c>
      <c r="E1939" s="6" t="s">
        <v>8159</v>
      </c>
      <c r="F1939" s="10"/>
      <c r="G1939" s="11" t="s">
        <v>8160</v>
      </c>
      <c r="H1939" s="12">
        <v>20</v>
      </c>
      <c r="I1939" s="13" t="s">
        <v>41</v>
      </c>
      <c r="J1939" s="13"/>
      <c r="K1939" s="13"/>
      <c r="L1939" s="4">
        <v>2</v>
      </c>
      <c r="M1939" s="14">
        <f>384*(1-P3/100)</f>
        <v>384</v>
      </c>
      <c r="N1939" s="15"/>
      <c r="O1939" s="13">
        <f t="shared" si="84"/>
        <v>0</v>
      </c>
      <c r="P1939" s="22">
        <f>0.301*N1939</f>
        <v>0</v>
      </c>
      <c r="Q1939" s="23">
        <f>0.00048*N1939</f>
        <v>0</v>
      </c>
      <c r="R1939" s="24"/>
      <c r="S1939" s="25" t="s">
        <v>8161</v>
      </c>
      <c r="T1939" s="25" t="s">
        <v>43</v>
      </c>
      <c r="U1939" s="5" t="s">
        <v>8162</v>
      </c>
      <c r="V1939" s="5" t="s">
        <v>8163</v>
      </c>
      <c r="W1939" s="5" t="s">
        <v>2731</v>
      </c>
      <c r="X1939" s="5"/>
      <c r="Y1939" s="5"/>
      <c r="Z1939" s="5" t="str">
        <f>HYPERLINK("https://knigipp.ru/api/getInfo/image/465e5210-24c2-11ef-a25f-00155d82e908")</f>
        <v>https://knigipp.ru/api/getInfo/image/465e5210-24c2-11ef-a25f-00155d82e908</v>
      </c>
      <c r="AA1939" s="33">
        <v>128</v>
      </c>
      <c r="AB1939" s="5" t="s">
        <v>47</v>
      </c>
      <c r="AC1939" s="5" t="s">
        <v>86</v>
      </c>
      <c r="AD1939" s="5"/>
      <c r="AE1939" s="5" t="s">
        <v>49</v>
      </c>
      <c r="AF1939" s="5"/>
      <c r="AG1939" s="5"/>
      <c r="AH1939" s="5" t="s">
        <v>8096</v>
      </c>
    </row>
    <row r="1940" spans="2:35" ht="22.95" customHeight="1" outlineLevel="3" x14ac:dyDescent="0.2">
      <c r="B1940" s="74" t="s">
        <v>8164</v>
      </c>
      <c r="C1940" s="74"/>
      <c r="D1940" s="74"/>
    </row>
    <row r="1941" spans="2:35" ht="21" customHeight="1" outlineLevel="4" x14ac:dyDescent="0.2">
      <c r="B1941" s="42">
        <v>1513</v>
      </c>
      <c r="C1941" s="5" t="s">
        <v>8165</v>
      </c>
      <c r="D1941" s="5" t="s">
        <v>8166</v>
      </c>
      <c r="E1941" s="6" t="s">
        <v>8167</v>
      </c>
      <c r="F1941" s="10"/>
      <c r="G1941" s="11" t="s">
        <v>8168</v>
      </c>
      <c r="H1941" s="12">
        <v>10</v>
      </c>
      <c r="I1941" s="13" t="s">
        <v>41</v>
      </c>
      <c r="J1941" s="13"/>
      <c r="K1941" s="13"/>
      <c r="L1941" s="4">
        <v>2</v>
      </c>
      <c r="M1941" s="14">
        <f>487*(1-P3/100)</f>
        <v>487</v>
      </c>
      <c r="N1941" s="15"/>
      <c r="O1941" s="13">
        <f t="shared" ref="O1941:O1948" si="85">M1941*N1941</f>
        <v>0</v>
      </c>
      <c r="P1941" s="22">
        <f>0.055*N1941</f>
        <v>0</v>
      </c>
      <c r="Q1941" s="30">
        <f>0.0004*N1941</f>
        <v>0</v>
      </c>
      <c r="R1941" s="24"/>
      <c r="S1941" s="25" t="s">
        <v>8169</v>
      </c>
      <c r="T1941" s="25" t="s">
        <v>43</v>
      </c>
      <c r="U1941" s="5" t="s">
        <v>8170</v>
      </c>
      <c r="V1941" s="5" t="s">
        <v>8171</v>
      </c>
      <c r="W1941" s="5" t="s">
        <v>46</v>
      </c>
      <c r="X1941" s="5"/>
      <c r="Y1941" s="5"/>
      <c r="Z1941" s="5" t="str">
        <f>HYPERLINK("https://knigipp.ru/api/getInfo/image/fb920a8c-f5d4-11ef-a274-00155d82e908")</f>
        <v>https://knigipp.ru/api/getInfo/image/fb920a8c-f5d4-11ef-a274-00155d82e908</v>
      </c>
      <c r="AA1941" s="33">
        <v>144</v>
      </c>
      <c r="AB1941" s="5" t="s">
        <v>574</v>
      </c>
      <c r="AC1941" s="5" t="s">
        <v>86</v>
      </c>
      <c r="AD1941" s="5"/>
      <c r="AE1941" s="5" t="s">
        <v>49</v>
      </c>
      <c r="AF1941" s="5"/>
      <c r="AG1941" s="5"/>
      <c r="AH1941" s="5" t="s">
        <v>8172</v>
      </c>
    </row>
    <row r="1942" spans="2:35" ht="21" customHeight="1" outlineLevel="4" x14ac:dyDescent="0.2">
      <c r="B1942" s="42">
        <v>1514</v>
      </c>
      <c r="C1942" s="5" t="s">
        <v>8173</v>
      </c>
      <c r="D1942" s="5" t="s">
        <v>8174</v>
      </c>
      <c r="E1942" s="6" t="s">
        <v>8175</v>
      </c>
      <c r="F1942" s="10"/>
      <c r="G1942" s="11" t="s">
        <v>8176</v>
      </c>
      <c r="H1942" s="12">
        <v>10</v>
      </c>
      <c r="I1942" s="13" t="s">
        <v>41</v>
      </c>
      <c r="J1942" s="13"/>
      <c r="K1942" s="13"/>
      <c r="L1942" s="4">
        <v>2</v>
      </c>
      <c r="M1942" s="14">
        <f>327*(1-P3/100)</f>
        <v>327</v>
      </c>
      <c r="N1942" s="15"/>
      <c r="O1942" s="13">
        <f t="shared" si="85"/>
        <v>0</v>
      </c>
      <c r="P1942" s="22">
        <f>0.218*N1942</f>
        <v>0</v>
      </c>
      <c r="Q1942" s="23">
        <f>0.00037*N1942</f>
        <v>0</v>
      </c>
      <c r="R1942" s="24"/>
      <c r="S1942" s="25" t="s">
        <v>8177</v>
      </c>
      <c r="T1942" s="25" t="s">
        <v>43</v>
      </c>
      <c r="U1942" s="5" t="s">
        <v>56</v>
      </c>
      <c r="V1942" s="5" t="s">
        <v>8178</v>
      </c>
      <c r="W1942" s="5" t="s">
        <v>46</v>
      </c>
      <c r="X1942" s="5"/>
      <c r="Y1942" s="5"/>
      <c r="Z1942" s="5" t="str">
        <f>HYPERLINK("https://knigipp.ru/api/getInfo/image/6f71a844-9046-11ee-a250-00155d82e908")</f>
        <v>https://knigipp.ru/api/getInfo/image/6f71a844-9046-11ee-a250-00155d82e908</v>
      </c>
      <c r="AA1942" s="33">
        <v>80</v>
      </c>
      <c r="AB1942" s="5" t="s">
        <v>47</v>
      </c>
      <c r="AC1942" s="5" t="s">
        <v>86</v>
      </c>
      <c r="AD1942" s="5"/>
      <c r="AE1942" s="5" t="s">
        <v>49</v>
      </c>
      <c r="AF1942" s="5"/>
      <c r="AG1942" s="5"/>
      <c r="AH1942" s="5" t="s">
        <v>8179</v>
      </c>
    </row>
    <row r="1943" spans="2:35" ht="21" customHeight="1" outlineLevel="4" x14ac:dyDescent="0.2">
      <c r="B1943" s="42">
        <v>1515</v>
      </c>
      <c r="C1943" s="5" t="s">
        <v>8180</v>
      </c>
      <c r="D1943" s="5" t="s">
        <v>8181</v>
      </c>
      <c r="E1943" s="6" t="s">
        <v>8182</v>
      </c>
      <c r="F1943" s="10"/>
      <c r="G1943" s="11" t="s">
        <v>8183</v>
      </c>
      <c r="H1943" s="12">
        <v>20</v>
      </c>
      <c r="I1943" s="13" t="s">
        <v>41</v>
      </c>
      <c r="J1943" s="13"/>
      <c r="K1943" s="13"/>
      <c r="L1943" s="4">
        <v>2</v>
      </c>
      <c r="M1943" s="14">
        <f>382*(1-P3/100)</f>
        <v>382</v>
      </c>
      <c r="N1943" s="15"/>
      <c r="O1943" s="13">
        <f t="shared" si="85"/>
        <v>0</v>
      </c>
      <c r="P1943" s="22">
        <f>0.168*N1943</f>
        <v>0</v>
      </c>
      <c r="Q1943" s="23">
        <f>0.00029*N1943</f>
        <v>0</v>
      </c>
      <c r="R1943" s="24"/>
      <c r="S1943" s="25" t="s">
        <v>8184</v>
      </c>
      <c r="T1943" s="25" t="s">
        <v>43</v>
      </c>
      <c r="U1943" s="5" t="s">
        <v>7929</v>
      </c>
      <c r="V1943" s="5" t="s">
        <v>8185</v>
      </c>
      <c r="W1943" s="5" t="s">
        <v>46</v>
      </c>
      <c r="X1943" s="5" t="s">
        <v>2160</v>
      </c>
      <c r="Y1943" s="5"/>
      <c r="Z1943" s="5" t="str">
        <f>HYPERLINK("https://knigipp.ru/api/getInfo/image/a48aa5ed-978e-11ef-a267-00155d82e908")</f>
        <v>https://knigipp.ru/api/getInfo/image/a48aa5ed-978e-11ef-a267-00155d82e908</v>
      </c>
      <c r="AA1943" s="33">
        <v>192</v>
      </c>
      <c r="AB1943" s="5" t="s">
        <v>47</v>
      </c>
      <c r="AC1943" s="5" t="s">
        <v>86</v>
      </c>
      <c r="AD1943" s="5"/>
      <c r="AE1943" s="5" t="s">
        <v>49</v>
      </c>
      <c r="AF1943" s="5"/>
      <c r="AG1943" s="5"/>
      <c r="AH1943" s="5" t="s">
        <v>8186</v>
      </c>
    </row>
    <row r="1944" spans="2:35" ht="21" customHeight="1" outlineLevel="4" x14ac:dyDescent="0.2">
      <c r="B1944" s="43">
        <v>1516</v>
      </c>
      <c r="C1944" s="8" t="s">
        <v>8187</v>
      </c>
      <c r="D1944" s="8" t="s">
        <v>8188</v>
      </c>
      <c r="E1944" s="9" t="s">
        <v>8189</v>
      </c>
      <c r="F1944" s="16"/>
      <c r="G1944" s="17" t="s">
        <v>8190</v>
      </c>
      <c r="H1944" s="18">
        <v>10</v>
      </c>
      <c r="I1944" s="19" t="s">
        <v>41</v>
      </c>
      <c r="J1944" s="19"/>
      <c r="K1944" s="19"/>
      <c r="L1944" s="7">
        <v>1</v>
      </c>
      <c r="M1944" s="21">
        <f>537*(1-P3/100)</f>
        <v>537</v>
      </c>
      <c r="N1944" s="15"/>
      <c r="O1944" s="19">
        <f t="shared" si="85"/>
        <v>0</v>
      </c>
      <c r="P1944" s="26">
        <f>0.353*N1944</f>
        <v>0</v>
      </c>
      <c r="Q1944" s="27">
        <f>0.00065*N1944</f>
        <v>0</v>
      </c>
      <c r="R1944" s="28" t="s">
        <v>81</v>
      </c>
      <c r="S1944" s="29" t="s">
        <v>8191</v>
      </c>
      <c r="T1944" s="29" t="s">
        <v>43</v>
      </c>
      <c r="U1944" s="8" t="s">
        <v>8192</v>
      </c>
      <c r="V1944" s="8" t="s">
        <v>8193</v>
      </c>
      <c r="W1944" s="8" t="s">
        <v>46</v>
      </c>
      <c r="X1944" s="8"/>
      <c r="Y1944" s="8"/>
      <c r="Z1944" s="8" t="str">
        <f>HYPERLINK("https://knigipp.ru/api/getInfo/image/b50952b9-fdd5-11f0-a28e-00155d82e908")</f>
        <v>https://knigipp.ru/api/getInfo/image/b50952b9-fdd5-11f0-a28e-00155d82e908</v>
      </c>
      <c r="AA1944" s="34">
        <v>208</v>
      </c>
      <c r="AB1944" s="8" t="s">
        <v>47</v>
      </c>
      <c r="AC1944" s="8" t="s">
        <v>86</v>
      </c>
      <c r="AD1944" s="8"/>
      <c r="AE1944" s="8" t="s">
        <v>49</v>
      </c>
      <c r="AF1944" s="8"/>
      <c r="AG1944" s="8"/>
      <c r="AH1944" s="8" t="s">
        <v>8194</v>
      </c>
      <c r="AI1944" s="55"/>
    </row>
    <row r="1945" spans="2:35" ht="21" customHeight="1" outlineLevel="4" x14ac:dyDescent="0.2">
      <c r="B1945" s="42">
        <v>1517</v>
      </c>
      <c r="C1945" s="5" t="s">
        <v>8195</v>
      </c>
      <c r="D1945" s="5" t="s">
        <v>8196</v>
      </c>
      <c r="E1945" s="6" t="s">
        <v>8197</v>
      </c>
      <c r="F1945" s="10"/>
      <c r="G1945" s="11" t="s">
        <v>8198</v>
      </c>
      <c r="H1945" s="12">
        <v>10</v>
      </c>
      <c r="I1945" s="13" t="s">
        <v>41</v>
      </c>
      <c r="J1945" s="13"/>
      <c r="K1945" s="13"/>
      <c r="L1945" s="4">
        <v>2</v>
      </c>
      <c r="M1945" s="14">
        <f>477*(1-P3/100)</f>
        <v>477</v>
      </c>
      <c r="N1945" s="15"/>
      <c r="O1945" s="13">
        <f t="shared" si="85"/>
        <v>0</v>
      </c>
      <c r="P1945" s="22">
        <f>0.189*N1945</f>
        <v>0</v>
      </c>
      <c r="Q1945" s="23">
        <f>0.00022*N1945</f>
        <v>0</v>
      </c>
      <c r="R1945" s="24"/>
      <c r="S1945" s="25" t="s">
        <v>8199</v>
      </c>
      <c r="T1945" s="25" t="s">
        <v>43</v>
      </c>
      <c r="U1945" s="5" t="s">
        <v>676</v>
      </c>
      <c r="V1945" s="5" t="s">
        <v>8200</v>
      </c>
      <c r="W1945" s="5" t="s">
        <v>46</v>
      </c>
      <c r="X1945" s="5"/>
      <c r="Y1945" s="5"/>
      <c r="Z1945" s="5" t="str">
        <f>HYPERLINK("https://knigipp.ru/api/getInfo/image/89117056-f5d4-11ef-a274-00155d82e908")</f>
        <v>https://knigipp.ru/api/getInfo/image/89117056-f5d4-11ef-a274-00155d82e908</v>
      </c>
      <c r="AA1945" s="33">
        <v>80</v>
      </c>
      <c r="AB1945" s="5" t="s">
        <v>574</v>
      </c>
      <c r="AC1945" s="5" t="s">
        <v>86</v>
      </c>
      <c r="AD1945" s="5"/>
      <c r="AE1945" s="5" t="s">
        <v>49</v>
      </c>
      <c r="AF1945" s="5"/>
      <c r="AG1945" s="5"/>
      <c r="AH1945" s="5" t="s">
        <v>8201</v>
      </c>
    </row>
    <row r="1946" spans="2:35" ht="21" customHeight="1" outlineLevel="4" x14ac:dyDescent="0.2">
      <c r="B1946" s="42">
        <v>1518</v>
      </c>
      <c r="C1946" s="5" t="s">
        <v>8202</v>
      </c>
      <c r="D1946" s="5" t="s">
        <v>8203</v>
      </c>
      <c r="E1946" s="6" t="s">
        <v>8204</v>
      </c>
      <c r="F1946" s="10"/>
      <c r="G1946" s="11" t="s">
        <v>8205</v>
      </c>
      <c r="H1946" s="12">
        <v>10</v>
      </c>
      <c r="I1946" s="13" t="s">
        <v>41</v>
      </c>
      <c r="J1946" s="13"/>
      <c r="K1946" s="13"/>
      <c r="L1946" s="4">
        <v>1</v>
      </c>
      <c r="M1946" s="14">
        <f>887*(1-P3/100)</f>
        <v>887</v>
      </c>
      <c r="N1946" s="15"/>
      <c r="O1946" s="13">
        <f t="shared" si="85"/>
        <v>0</v>
      </c>
      <c r="P1946" s="22">
        <f>0.362*N1946</f>
        <v>0</v>
      </c>
      <c r="Q1946" s="23">
        <f>0.00213*N1946</f>
        <v>0</v>
      </c>
      <c r="R1946" s="24"/>
      <c r="S1946" s="25" t="s">
        <v>8206</v>
      </c>
      <c r="T1946" s="25" t="s">
        <v>43</v>
      </c>
      <c r="U1946" s="5" t="s">
        <v>8207</v>
      </c>
      <c r="V1946" s="5" t="s">
        <v>8208</v>
      </c>
      <c r="W1946" s="5" t="s">
        <v>46</v>
      </c>
      <c r="X1946" s="5"/>
      <c r="Y1946" s="5"/>
      <c r="Z1946" s="5" t="str">
        <f>HYPERLINK("https://knigipp.ru/api/getInfo/image/b88ad24d-0e3d-11f0-a279-00155d82e908")</f>
        <v>https://knigipp.ru/api/getInfo/image/b88ad24d-0e3d-11f0-a279-00155d82e908</v>
      </c>
      <c r="AA1946" s="33">
        <v>208</v>
      </c>
      <c r="AB1946" s="5" t="s">
        <v>47</v>
      </c>
      <c r="AC1946" s="5" t="s">
        <v>86</v>
      </c>
      <c r="AD1946" s="5"/>
      <c r="AE1946" s="5" t="s">
        <v>49</v>
      </c>
      <c r="AF1946" s="5"/>
      <c r="AG1946" s="5"/>
      <c r="AH1946" s="5" t="s">
        <v>1939</v>
      </c>
    </row>
    <row r="1947" spans="2:35" ht="21" customHeight="1" outlineLevel="4" x14ac:dyDescent="0.2">
      <c r="B1947" s="42">
        <v>1519</v>
      </c>
      <c r="C1947" s="5" t="s">
        <v>8209</v>
      </c>
      <c r="D1947" s="5" t="s">
        <v>8210</v>
      </c>
      <c r="E1947" s="6" t="s">
        <v>8211</v>
      </c>
      <c r="F1947" s="10"/>
      <c r="G1947" s="11" t="s">
        <v>8212</v>
      </c>
      <c r="H1947" s="12">
        <v>20</v>
      </c>
      <c r="I1947" s="13" t="s">
        <v>41</v>
      </c>
      <c r="J1947" s="13"/>
      <c r="K1947" s="13"/>
      <c r="L1947" s="4">
        <v>2</v>
      </c>
      <c r="M1947" s="14">
        <f>357*(1-P3/100)</f>
        <v>357</v>
      </c>
      <c r="N1947" s="15"/>
      <c r="O1947" s="13">
        <f t="shared" si="85"/>
        <v>0</v>
      </c>
      <c r="P1947" s="22">
        <f>0.164*N1947</f>
        <v>0</v>
      </c>
      <c r="Q1947" s="23">
        <f>0.00012*N1947</f>
        <v>0</v>
      </c>
      <c r="R1947" s="24"/>
      <c r="S1947" s="25" t="s">
        <v>8213</v>
      </c>
      <c r="T1947" s="25" t="s">
        <v>43</v>
      </c>
      <c r="U1947" s="5" t="s">
        <v>8214</v>
      </c>
      <c r="V1947" s="5" t="s">
        <v>8215</v>
      </c>
      <c r="W1947" s="5" t="s">
        <v>46</v>
      </c>
      <c r="X1947" s="5"/>
      <c r="Y1947" s="5"/>
      <c r="Z1947" s="5" t="str">
        <f>HYPERLINK("https://knigipp.ru/api/getInfo/image/bf238339-978e-11ef-a267-00155d82e908")</f>
        <v>https://knigipp.ru/api/getInfo/image/bf238339-978e-11ef-a267-00155d82e908</v>
      </c>
      <c r="AA1947" s="33">
        <v>80</v>
      </c>
      <c r="AB1947" s="5" t="s">
        <v>47</v>
      </c>
      <c r="AC1947" s="5" t="s">
        <v>86</v>
      </c>
      <c r="AD1947" s="5"/>
      <c r="AE1947" s="5" t="s">
        <v>49</v>
      </c>
      <c r="AF1947" s="5"/>
      <c r="AG1947" s="5"/>
      <c r="AH1947" s="5" t="s">
        <v>8179</v>
      </c>
    </row>
    <row r="1948" spans="2:35" ht="21" customHeight="1" outlineLevel="4" x14ac:dyDescent="0.2">
      <c r="B1948" s="42">
        <v>1520</v>
      </c>
      <c r="C1948" s="5" t="s">
        <v>8216</v>
      </c>
      <c r="D1948" s="5" t="s">
        <v>8217</v>
      </c>
      <c r="E1948" s="6" t="s">
        <v>8218</v>
      </c>
      <c r="F1948" s="10"/>
      <c r="G1948" s="11" t="s">
        <v>8219</v>
      </c>
      <c r="H1948" s="12">
        <v>10</v>
      </c>
      <c r="I1948" s="13" t="s">
        <v>41</v>
      </c>
      <c r="J1948" s="13"/>
      <c r="K1948" s="13"/>
      <c r="L1948" s="4">
        <v>2</v>
      </c>
      <c r="M1948" s="14">
        <f>357*(1-P3/100)</f>
        <v>357</v>
      </c>
      <c r="N1948" s="15"/>
      <c r="O1948" s="13">
        <f t="shared" si="85"/>
        <v>0</v>
      </c>
      <c r="P1948" s="22">
        <f>0.186*N1948</f>
        <v>0</v>
      </c>
      <c r="Q1948" s="23">
        <f>0.00031*N1948</f>
        <v>0</v>
      </c>
      <c r="R1948" s="24"/>
      <c r="S1948" s="25" t="s">
        <v>8220</v>
      </c>
      <c r="T1948" s="25" t="s">
        <v>43</v>
      </c>
      <c r="U1948" s="5" t="s">
        <v>56</v>
      </c>
      <c r="V1948" s="5" t="s">
        <v>8221</v>
      </c>
      <c r="W1948" s="5" t="s">
        <v>46</v>
      </c>
      <c r="X1948" s="5"/>
      <c r="Y1948" s="5"/>
      <c r="Z1948" s="5" t="str">
        <f>HYPERLINK("https://knigipp.ru/api/getInfo/image/d70bae29-9046-11ee-a250-00155d82e908")</f>
        <v>https://knigipp.ru/api/getInfo/image/d70bae29-9046-11ee-a250-00155d82e908</v>
      </c>
      <c r="AA1948" s="33">
        <v>80</v>
      </c>
      <c r="AB1948" s="5" t="s">
        <v>47</v>
      </c>
      <c r="AC1948" s="5" t="s">
        <v>86</v>
      </c>
      <c r="AD1948" s="5"/>
      <c r="AE1948" s="5" t="s">
        <v>49</v>
      </c>
      <c r="AF1948" s="5"/>
      <c r="AG1948" s="5"/>
      <c r="AH1948" s="5" t="s">
        <v>8222</v>
      </c>
    </row>
    <row r="1949" spans="2:35" ht="22.95" customHeight="1" outlineLevel="3" x14ac:dyDescent="0.2">
      <c r="B1949" s="74" t="s">
        <v>8223</v>
      </c>
      <c r="C1949" s="74"/>
      <c r="D1949" s="74"/>
    </row>
    <row r="1950" spans="2:35" ht="21" customHeight="1" outlineLevel="4" x14ac:dyDescent="0.2">
      <c r="B1950" s="42">
        <v>1521</v>
      </c>
      <c r="C1950" s="5" t="s">
        <v>8224</v>
      </c>
      <c r="D1950" s="5" t="s">
        <v>8225</v>
      </c>
      <c r="E1950" s="6" t="s">
        <v>8226</v>
      </c>
      <c r="F1950" s="10"/>
      <c r="G1950" s="11" t="s">
        <v>8227</v>
      </c>
      <c r="H1950" s="12">
        <v>10</v>
      </c>
      <c r="I1950" s="13" t="s">
        <v>41</v>
      </c>
      <c r="J1950" s="13"/>
      <c r="K1950" s="13"/>
      <c r="L1950" s="4">
        <v>1</v>
      </c>
      <c r="M1950" s="14">
        <f>597*(1-P3/100)</f>
        <v>597</v>
      </c>
      <c r="N1950" s="15"/>
      <c r="O1950" s="13">
        <f>M1950*N1950</f>
        <v>0</v>
      </c>
      <c r="P1950" s="22">
        <f>0.385*N1950</f>
        <v>0</v>
      </c>
      <c r="Q1950" s="23">
        <f>0.00043*N1950</f>
        <v>0</v>
      </c>
      <c r="R1950" s="24"/>
      <c r="S1950" s="25" t="s">
        <v>8228</v>
      </c>
      <c r="T1950" s="25" t="s">
        <v>43</v>
      </c>
      <c r="U1950" s="5" t="s">
        <v>8229</v>
      </c>
      <c r="V1950" s="5" t="s">
        <v>8230</v>
      </c>
      <c r="W1950" s="5" t="s">
        <v>46</v>
      </c>
      <c r="X1950" s="5"/>
      <c r="Y1950" s="5"/>
      <c r="Z1950" s="5" t="str">
        <f>HYPERLINK("https://knigipp.ru/api/getInfo/image/d5e9330e-25c0-11f0-a279-00155d82e908")</f>
        <v>https://knigipp.ru/api/getInfo/image/d5e9330e-25c0-11f0-a279-00155d82e908</v>
      </c>
      <c r="AA1950" s="33">
        <v>224</v>
      </c>
      <c r="AB1950" s="5" t="s">
        <v>2984</v>
      </c>
      <c r="AC1950" s="5" t="s">
        <v>86</v>
      </c>
      <c r="AD1950" s="5"/>
      <c r="AE1950" s="5" t="s">
        <v>49</v>
      </c>
      <c r="AF1950" s="5"/>
      <c r="AG1950" s="5"/>
      <c r="AH1950" s="5" t="s">
        <v>8231</v>
      </c>
    </row>
    <row r="1951" spans="2:35" ht="21" customHeight="1" outlineLevel="4" x14ac:dyDescent="0.2">
      <c r="B1951" s="42">
        <v>1522</v>
      </c>
      <c r="C1951" s="5" t="s">
        <v>8232</v>
      </c>
      <c r="D1951" s="5" t="s">
        <v>8233</v>
      </c>
      <c r="E1951" s="6" t="s">
        <v>8234</v>
      </c>
      <c r="F1951" s="10"/>
      <c r="G1951" s="11" t="s">
        <v>8235</v>
      </c>
      <c r="H1951" s="12">
        <v>20</v>
      </c>
      <c r="I1951" s="13" t="s">
        <v>41</v>
      </c>
      <c r="J1951" s="13"/>
      <c r="K1951" s="13"/>
      <c r="L1951" s="4">
        <v>1</v>
      </c>
      <c r="M1951" s="14">
        <f>597*(1-P3/100)</f>
        <v>597</v>
      </c>
      <c r="N1951" s="15"/>
      <c r="O1951" s="13">
        <f>M1951*N1951</f>
        <v>0</v>
      </c>
      <c r="P1951" s="22">
        <f>0.387*N1951</f>
        <v>0</v>
      </c>
      <c r="Q1951" s="23">
        <f>0.00062*N1951</f>
        <v>0</v>
      </c>
      <c r="R1951" s="24"/>
      <c r="S1951" s="25" t="s">
        <v>8236</v>
      </c>
      <c r="T1951" s="25" t="s">
        <v>43</v>
      </c>
      <c r="U1951" s="5" t="s">
        <v>8229</v>
      </c>
      <c r="V1951" s="5" t="s">
        <v>8237</v>
      </c>
      <c r="W1951" s="5" t="s">
        <v>2731</v>
      </c>
      <c r="X1951" s="5"/>
      <c r="Y1951" s="5"/>
      <c r="Z1951" s="5" t="str">
        <f>HYPERLINK("https://knigipp.ru/api/getInfo/image/ab1e65cb-9e07-11f0-a285-00155d82e908")</f>
        <v>https://knigipp.ru/api/getInfo/image/ab1e65cb-9e07-11f0-a285-00155d82e908</v>
      </c>
      <c r="AA1951" s="33">
        <v>224</v>
      </c>
      <c r="AB1951" s="5" t="s">
        <v>761</v>
      </c>
      <c r="AC1951" s="5" t="s">
        <v>86</v>
      </c>
      <c r="AD1951" s="5"/>
      <c r="AE1951" s="5" t="s">
        <v>49</v>
      </c>
      <c r="AF1951" s="5"/>
      <c r="AG1951" s="5"/>
      <c r="AH1951" s="5" t="s">
        <v>8231</v>
      </c>
    </row>
    <row r="1952" spans="2:35" ht="21" customHeight="1" outlineLevel="4" x14ac:dyDescent="0.2">
      <c r="B1952" s="42">
        <v>1523</v>
      </c>
      <c r="C1952" s="5" t="s">
        <v>8238</v>
      </c>
      <c r="D1952" s="5" t="s">
        <v>8239</v>
      </c>
      <c r="E1952" s="6" t="s">
        <v>8240</v>
      </c>
      <c r="F1952" s="10"/>
      <c r="G1952" s="11" t="s">
        <v>8241</v>
      </c>
      <c r="H1952" s="12">
        <v>20</v>
      </c>
      <c r="I1952" s="13" t="s">
        <v>41</v>
      </c>
      <c r="J1952" s="13"/>
      <c r="K1952" s="13"/>
      <c r="L1952" s="4">
        <v>1</v>
      </c>
      <c r="M1952" s="14">
        <f>497*(1-P3/100)</f>
        <v>497</v>
      </c>
      <c r="N1952" s="15"/>
      <c r="O1952" s="13">
        <f>M1952*N1952</f>
        <v>0</v>
      </c>
      <c r="P1952" s="22">
        <f>0.272*N1952</f>
        <v>0</v>
      </c>
      <c r="Q1952" s="23">
        <f>0.00038*N1952</f>
        <v>0</v>
      </c>
      <c r="R1952" s="24"/>
      <c r="S1952" s="25" t="s">
        <v>8242</v>
      </c>
      <c r="T1952" s="25" t="s">
        <v>43</v>
      </c>
      <c r="U1952" s="5" t="s">
        <v>8229</v>
      </c>
      <c r="V1952" s="5" t="s">
        <v>8243</v>
      </c>
      <c r="W1952" s="5" t="s">
        <v>2731</v>
      </c>
      <c r="X1952" s="5"/>
      <c r="Y1952" s="5"/>
      <c r="Z1952" s="5" t="str">
        <f>HYPERLINK("https://knigipp.ru/api/getInfo/image/b9373d2c-c4f3-11ef-a268-00155d82e908")</f>
        <v>https://knigipp.ru/api/getInfo/image/b9373d2c-c4f3-11ef-a268-00155d82e908</v>
      </c>
      <c r="AA1952" s="33">
        <v>176</v>
      </c>
      <c r="AB1952" s="5" t="s">
        <v>2984</v>
      </c>
      <c r="AC1952" s="5" t="s">
        <v>86</v>
      </c>
      <c r="AD1952" s="5"/>
      <c r="AE1952" s="5" t="s">
        <v>49</v>
      </c>
      <c r="AF1952" s="5"/>
      <c r="AG1952" s="5"/>
      <c r="AH1952" s="5" t="s">
        <v>8231</v>
      </c>
    </row>
    <row r="1953" spans="2:35" ht="22.95" customHeight="1" outlineLevel="3" x14ac:dyDescent="0.2">
      <c r="B1953" s="74" t="s">
        <v>8244</v>
      </c>
      <c r="C1953" s="74"/>
      <c r="D1953" s="74"/>
    </row>
    <row r="1954" spans="2:35" ht="21" customHeight="1" outlineLevel="4" x14ac:dyDescent="0.2">
      <c r="B1954" s="42">
        <v>1524</v>
      </c>
      <c r="C1954" s="5" t="s">
        <v>8245</v>
      </c>
      <c r="D1954" s="5" t="s">
        <v>8246</v>
      </c>
      <c r="E1954" s="6" t="s">
        <v>8247</v>
      </c>
      <c r="F1954" s="10"/>
      <c r="G1954" s="11" t="s">
        <v>8248</v>
      </c>
      <c r="H1954" s="12">
        <v>10</v>
      </c>
      <c r="I1954" s="13" t="s">
        <v>41</v>
      </c>
      <c r="J1954" s="13"/>
      <c r="K1954" s="13"/>
      <c r="L1954" s="4">
        <v>1</v>
      </c>
      <c r="M1954" s="14">
        <f>497*(1-P3/100)</f>
        <v>497</v>
      </c>
      <c r="N1954" s="15"/>
      <c r="O1954" s="13">
        <f>M1954*N1954</f>
        <v>0</v>
      </c>
      <c r="P1954" s="22">
        <f>0.198*N1954</f>
        <v>0</v>
      </c>
      <c r="Q1954" s="23">
        <f>0.00027*N1954</f>
        <v>0</v>
      </c>
      <c r="R1954" s="24"/>
      <c r="S1954" s="25" t="s">
        <v>8249</v>
      </c>
      <c r="T1954" s="25" t="s">
        <v>43</v>
      </c>
      <c r="U1954" s="5" t="s">
        <v>8207</v>
      </c>
      <c r="V1954" s="5" t="s">
        <v>8250</v>
      </c>
      <c r="W1954" s="5" t="s">
        <v>46</v>
      </c>
      <c r="X1954" s="5"/>
      <c r="Y1954" s="5"/>
      <c r="Z1954" s="5" t="str">
        <f>HYPERLINK("https://knigipp.ru/api/getInfo/image/616731d1-55a3-11f0-a27e-00155d82e908")</f>
        <v>https://knigipp.ru/api/getInfo/image/616731d1-55a3-11f0-a27e-00155d82e908</v>
      </c>
      <c r="AA1954" s="33">
        <v>128</v>
      </c>
      <c r="AB1954" s="5" t="s">
        <v>47</v>
      </c>
      <c r="AC1954" s="5" t="s">
        <v>86</v>
      </c>
      <c r="AD1954" s="5"/>
      <c r="AE1954" s="5" t="s">
        <v>49</v>
      </c>
      <c r="AF1954" s="5"/>
      <c r="AG1954" s="5"/>
      <c r="AH1954" s="5" t="s">
        <v>8251</v>
      </c>
    </row>
    <row r="1955" spans="2:35" ht="22.95" customHeight="1" outlineLevel="3" x14ac:dyDescent="0.2">
      <c r="B1955" s="74" t="s">
        <v>8252</v>
      </c>
      <c r="C1955" s="74"/>
      <c r="D1955" s="74"/>
    </row>
    <row r="1956" spans="2:35" ht="21" customHeight="1" outlineLevel="4" x14ac:dyDescent="0.2">
      <c r="B1956" s="42">
        <v>1525</v>
      </c>
      <c r="C1956" s="5" t="s">
        <v>8253</v>
      </c>
      <c r="D1956" s="5" t="s">
        <v>8254</v>
      </c>
      <c r="E1956" s="6" t="s">
        <v>8255</v>
      </c>
      <c r="F1956" s="10"/>
      <c r="G1956" s="11" t="s">
        <v>8256</v>
      </c>
      <c r="H1956" s="12">
        <v>20</v>
      </c>
      <c r="I1956" s="13" t="s">
        <v>41</v>
      </c>
      <c r="J1956" s="13"/>
      <c r="K1956" s="13"/>
      <c r="L1956" s="4">
        <v>2</v>
      </c>
      <c r="M1956" s="14">
        <f>345*(1-P3/100)</f>
        <v>345</v>
      </c>
      <c r="N1956" s="15"/>
      <c r="O1956" s="13">
        <f>M1956*N1956</f>
        <v>0</v>
      </c>
      <c r="P1956" s="22">
        <f>0.142*N1956</f>
        <v>0</v>
      </c>
      <c r="Q1956" s="23">
        <f>0.00015*N1956</f>
        <v>0</v>
      </c>
      <c r="R1956" s="24"/>
      <c r="S1956" s="25" t="s">
        <v>8257</v>
      </c>
      <c r="T1956" s="25" t="s">
        <v>43</v>
      </c>
      <c r="U1956" s="5" t="s">
        <v>7952</v>
      </c>
      <c r="V1956" s="5" t="s">
        <v>8258</v>
      </c>
      <c r="W1956" s="5" t="s">
        <v>46</v>
      </c>
      <c r="X1956" s="5"/>
      <c r="Y1956" s="5"/>
      <c r="Z1956" s="5" t="str">
        <f>HYPERLINK("https://knigipp.ru/api/getInfo/image/d0baa17a-55a1-11f0-a27e-00155d82e908")</f>
        <v>https://knigipp.ru/api/getInfo/image/d0baa17a-55a1-11f0-a27e-00155d82e908</v>
      </c>
      <c r="AA1956" s="33">
        <v>48</v>
      </c>
      <c r="AB1956" s="5" t="s">
        <v>47</v>
      </c>
      <c r="AC1956" s="5" t="s">
        <v>86</v>
      </c>
      <c r="AD1956" s="5"/>
      <c r="AE1956" s="5" t="s">
        <v>49</v>
      </c>
      <c r="AF1956" s="5"/>
      <c r="AG1956" s="5"/>
      <c r="AH1956" s="5" t="s">
        <v>8259</v>
      </c>
    </row>
    <row r="1957" spans="2:35" ht="21" customHeight="1" outlineLevel="4" x14ac:dyDescent="0.2">
      <c r="B1957" s="42">
        <v>1526</v>
      </c>
      <c r="C1957" s="5" t="s">
        <v>8260</v>
      </c>
      <c r="D1957" s="5" t="s">
        <v>8261</v>
      </c>
      <c r="E1957" s="6" t="s">
        <v>8262</v>
      </c>
      <c r="F1957" s="10"/>
      <c r="G1957" s="11" t="s">
        <v>8263</v>
      </c>
      <c r="H1957" s="12">
        <v>20</v>
      </c>
      <c r="I1957" s="13" t="s">
        <v>371</v>
      </c>
      <c r="J1957" s="13"/>
      <c r="K1957" s="13"/>
      <c r="L1957" s="4">
        <v>2</v>
      </c>
      <c r="M1957" s="14">
        <f>345*(1-P3/100)</f>
        <v>345</v>
      </c>
      <c r="N1957" s="15"/>
      <c r="O1957" s="13">
        <f>M1957*N1957</f>
        <v>0</v>
      </c>
      <c r="P1957" s="22">
        <f>0.146*N1957</f>
        <v>0</v>
      </c>
      <c r="Q1957" s="23">
        <f>0.00018*N1957</f>
        <v>0</v>
      </c>
      <c r="R1957" s="24"/>
      <c r="S1957" s="25" t="s">
        <v>8264</v>
      </c>
      <c r="T1957" s="25" t="s">
        <v>43</v>
      </c>
      <c r="U1957" s="5" t="s">
        <v>7952</v>
      </c>
      <c r="V1957" s="5" t="s">
        <v>8265</v>
      </c>
      <c r="W1957" s="5" t="s">
        <v>46</v>
      </c>
      <c r="X1957" s="5"/>
      <c r="Y1957" s="5"/>
      <c r="Z1957" s="5" t="str">
        <f>HYPERLINK("https://knigipp.ru/api/getInfo/image/11d1074d-55a2-11f0-a27e-00155d82e908")</f>
        <v>https://knigipp.ru/api/getInfo/image/11d1074d-55a2-11f0-a27e-00155d82e908</v>
      </c>
      <c r="AA1957" s="33">
        <v>48</v>
      </c>
      <c r="AB1957" s="5" t="s">
        <v>47</v>
      </c>
      <c r="AC1957" s="5" t="s">
        <v>86</v>
      </c>
      <c r="AD1957" s="5"/>
      <c r="AE1957" s="5" t="s">
        <v>49</v>
      </c>
      <c r="AF1957" s="5"/>
      <c r="AG1957" s="5"/>
      <c r="AH1957" s="5" t="s">
        <v>8259</v>
      </c>
    </row>
    <row r="1958" spans="2:35" ht="21" customHeight="1" outlineLevel="4" x14ac:dyDescent="0.2">
      <c r="B1958" s="42">
        <v>1527</v>
      </c>
      <c r="C1958" s="5" t="s">
        <v>8266</v>
      </c>
      <c r="D1958" s="5" t="s">
        <v>8267</v>
      </c>
      <c r="E1958" s="6" t="s">
        <v>8268</v>
      </c>
      <c r="F1958" s="10"/>
      <c r="G1958" s="11" t="s">
        <v>8269</v>
      </c>
      <c r="H1958" s="12">
        <v>20</v>
      </c>
      <c r="I1958" s="13" t="s">
        <v>41</v>
      </c>
      <c r="J1958" s="13"/>
      <c r="K1958" s="13"/>
      <c r="L1958" s="4">
        <v>2</v>
      </c>
      <c r="M1958" s="14">
        <f>345*(1-P3/100)</f>
        <v>345</v>
      </c>
      <c r="N1958" s="15"/>
      <c r="O1958" s="13">
        <f>M1958*N1958</f>
        <v>0</v>
      </c>
      <c r="P1958" s="22">
        <f>0.147*N1958</f>
        <v>0</v>
      </c>
      <c r="Q1958" s="23">
        <f>0.00016*N1958</f>
        <v>0</v>
      </c>
      <c r="R1958" s="24"/>
      <c r="S1958" s="25" t="s">
        <v>8270</v>
      </c>
      <c r="T1958" s="25" t="s">
        <v>43</v>
      </c>
      <c r="U1958" s="5" t="s">
        <v>7952</v>
      </c>
      <c r="V1958" s="5" t="s">
        <v>8271</v>
      </c>
      <c r="W1958" s="5" t="s">
        <v>46</v>
      </c>
      <c r="X1958" s="5"/>
      <c r="Y1958" s="5"/>
      <c r="Z1958" s="5" t="str">
        <f>HYPERLINK("https://knigipp.ru/api/getInfo/image/fd2906df-840c-11f0-a284-00155d82e908")</f>
        <v>https://knigipp.ru/api/getInfo/image/fd2906df-840c-11f0-a284-00155d82e908</v>
      </c>
      <c r="AA1958" s="33">
        <v>48</v>
      </c>
      <c r="AB1958" s="5" t="s">
        <v>47</v>
      </c>
      <c r="AC1958" s="5" t="s">
        <v>86</v>
      </c>
      <c r="AD1958" s="5"/>
      <c r="AE1958" s="5" t="s">
        <v>49</v>
      </c>
      <c r="AF1958" s="5"/>
      <c r="AG1958" s="5"/>
      <c r="AH1958" s="5" t="s">
        <v>2908</v>
      </c>
    </row>
    <row r="1959" spans="2:35" ht="21" customHeight="1" outlineLevel="4" x14ac:dyDescent="0.2">
      <c r="B1959" s="42">
        <v>1528</v>
      </c>
      <c r="C1959" s="5" t="s">
        <v>8272</v>
      </c>
      <c r="D1959" s="5" t="s">
        <v>8273</v>
      </c>
      <c r="E1959" s="6" t="s">
        <v>8274</v>
      </c>
      <c r="F1959" s="10"/>
      <c r="G1959" s="11" t="s">
        <v>8275</v>
      </c>
      <c r="H1959" s="12">
        <v>20</v>
      </c>
      <c r="I1959" s="13" t="s">
        <v>41</v>
      </c>
      <c r="J1959" s="13"/>
      <c r="K1959" s="13"/>
      <c r="L1959" s="4">
        <v>2</v>
      </c>
      <c r="M1959" s="14">
        <f>345*(1-P3/100)</f>
        <v>345</v>
      </c>
      <c r="N1959" s="15"/>
      <c r="O1959" s="13">
        <f>M1959*N1959</f>
        <v>0</v>
      </c>
      <c r="P1959" s="22">
        <f>0.145*N1959</f>
        <v>0</v>
      </c>
      <c r="Q1959" s="23">
        <f>0.00019*N1959</f>
        <v>0</v>
      </c>
      <c r="R1959" s="24"/>
      <c r="S1959" s="25" t="s">
        <v>8276</v>
      </c>
      <c r="T1959" s="25" t="s">
        <v>43</v>
      </c>
      <c r="U1959" s="5" t="s">
        <v>7952</v>
      </c>
      <c r="V1959" s="5" t="s">
        <v>8277</v>
      </c>
      <c r="W1959" s="5" t="s">
        <v>46</v>
      </c>
      <c r="X1959" s="5"/>
      <c r="Y1959" s="5"/>
      <c r="Z1959" s="5" t="str">
        <f>HYPERLINK("https://knigipp.ru/api/getInfo/image/3134fe64-840d-11f0-a284-00155d82e908")</f>
        <v>https://knigipp.ru/api/getInfo/image/3134fe64-840d-11f0-a284-00155d82e908</v>
      </c>
      <c r="AA1959" s="33">
        <v>48</v>
      </c>
      <c r="AB1959" s="5" t="s">
        <v>47</v>
      </c>
      <c r="AC1959" s="5" t="s">
        <v>86</v>
      </c>
      <c r="AD1959" s="5"/>
      <c r="AE1959" s="5" t="s">
        <v>49</v>
      </c>
      <c r="AF1959" s="5"/>
      <c r="AG1959" s="5"/>
      <c r="AH1959" s="5" t="s">
        <v>2908</v>
      </c>
    </row>
    <row r="1960" spans="2:35" ht="22.95" customHeight="1" outlineLevel="3" x14ac:dyDescent="0.2">
      <c r="B1960" s="74" t="s">
        <v>8278</v>
      </c>
      <c r="C1960" s="74"/>
      <c r="D1960" s="74"/>
    </row>
    <row r="1961" spans="2:35" ht="21" customHeight="1" outlineLevel="4" x14ac:dyDescent="0.2">
      <c r="B1961" s="42">
        <v>1529</v>
      </c>
      <c r="C1961" s="5" t="s">
        <v>8279</v>
      </c>
      <c r="D1961" s="5" t="s">
        <v>8280</v>
      </c>
      <c r="E1961" s="6" t="s">
        <v>8281</v>
      </c>
      <c r="F1961" s="10"/>
      <c r="G1961" s="11" t="s">
        <v>8282</v>
      </c>
      <c r="H1961" s="12">
        <v>20</v>
      </c>
      <c r="I1961" s="13" t="s">
        <v>41</v>
      </c>
      <c r="J1961" s="13"/>
      <c r="K1961" s="13"/>
      <c r="L1961" s="4">
        <v>2</v>
      </c>
      <c r="M1961" s="14">
        <f>407*(1-P3/100)</f>
        <v>407</v>
      </c>
      <c r="N1961" s="15"/>
      <c r="O1961" s="13">
        <f>M1961*N1961</f>
        <v>0</v>
      </c>
      <c r="P1961" s="22">
        <f>0.231*N1961</f>
        <v>0</v>
      </c>
      <c r="Q1961" s="23">
        <f>0.00028*N1961</f>
        <v>0</v>
      </c>
      <c r="R1961" s="24"/>
      <c r="S1961" s="25" t="s">
        <v>8283</v>
      </c>
      <c r="T1961" s="25" t="s">
        <v>43</v>
      </c>
      <c r="U1961" s="5" t="s">
        <v>7960</v>
      </c>
      <c r="V1961" s="5" t="s">
        <v>8284</v>
      </c>
      <c r="W1961" s="5" t="s">
        <v>46</v>
      </c>
      <c r="X1961" s="5"/>
      <c r="Y1961" s="5"/>
      <c r="Z1961" s="5" t="str">
        <f>HYPERLINK("https://knigipp.ru/api/getInfo/image/a5258575-ae4f-11ef-a267-00155d82e908")</f>
        <v>https://knigipp.ru/api/getInfo/image/a5258575-ae4f-11ef-a267-00155d82e908</v>
      </c>
      <c r="AA1961" s="33">
        <v>144</v>
      </c>
      <c r="AB1961" s="5" t="s">
        <v>47</v>
      </c>
      <c r="AC1961" s="5" t="s">
        <v>86</v>
      </c>
      <c r="AD1961" s="5"/>
      <c r="AE1961" s="5" t="s">
        <v>49</v>
      </c>
      <c r="AF1961" s="5"/>
      <c r="AG1961" s="5"/>
      <c r="AH1961" s="5" t="s">
        <v>8285</v>
      </c>
    </row>
    <row r="1962" spans="2:35" ht="22.95" customHeight="1" outlineLevel="3" x14ac:dyDescent="0.2">
      <c r="B1962" s="74" t="s">
        <v>8286</v>
      </c>
      <c r="C1962" s="74"/>
      <c r="D1962" s="74"/>
    </row>
    <row r="1963" spans="2:35" ht="21" customHeight="1" outlineLevel="4" x14ac:dyDescent="0.2">
      <c r="B1963" s="43">
        <v>1530</v>
      </c>
      <c r="C1963" s="8" t="s">
        <v>8287</v>
      </c>
      <c r="D1963" s="8" t="s">
        <v>8288</v>
      </c>
      <c r="E1963" s="9" t="s">
        <v>8289</v>
      </c>
      <c r="F1963" s="16"/>
      <c r="G1963" s="17" t="s">
        <v>8290</v>
      </c>
      <c r="H1963" s="18">
        <v>20</v>
      </c>
      <c r="I1963" s="19" t="s">
        <v>41</v>
      </c>
      <c r="J1963" s="19"/>
      <c r="K1963" s="19"/>
      <c r="L1963" s="7">
        <v>1</v>
      </c>
      <c r="M1963" s="21">
        <f>499*(1-P3/100)</f>
        <v>499</v>
      </c>
      <c r="N1963" s="15"/>
      <c r="O1963" s="19">
        <f>M1963*N1963</f>
        <v>0</v>
      </c>
      <c r="P1963" s="26">
        <f>0.163*N1963</f>
        <v>0</v>
      </c>
      <c r="Q1963" s="27">
        <f>0.00025*N1963</f>
        <v>0</v>
      </c>
      <c r="R1963" s="28" t="s">
        <v>81</v>
      </c>
      <c r="S1963" s="29" t="s">
        <v>8291</v>
      </c>
      <c r="T1963" s="29" t="s">
        <v>43</v>
      </c>
      <c r="U1963" s="8" t="s">
        <v>44</v>
      </c>
      <c r="V1963" s="8" t="s">
        <v>8292</v>
      </c>
      <c r="W1963" s="8" t="s">
        <v>46</v>
      </c>
      <c r="X1963" s="8"/>
      <c r="Y1963" s="8"/>
      <c r="Z1963" s="8" t="str">
        <f>HYPERLINK("https://knigipp.ru/api/getInfo/image/3f2607bc-e573-11f0-a28c-00155d82e908")</f>
        <v>https://knigipp.ru/api/getInfo/image/3f2607bc-e573-11f0-a28c-00155d82e908</v>
      </c>
      <c r="AA1963" s="34">
        <v>80</v>
      </c>
      <c r="AB1963" s="8" t="s">
        <v>47</v>
      </c>
      <c r="AC1963" s="8" t="s">
        <v>86</v>
      </c>
      <c r="AD1963" s="8"/>
      <c r="AE1963" s="8"/>
      <c r="AF1963" s="8"/>
      <c r="AG1963" s="8"/>
      <c r="AH1963" s="8" t="s">
        <v>8293</v>
      </c>
      <c r="AI1963" s="55"/>
    </row>
    <row r="1964" spans="2:35" ht="22.95" customHeight="1" outlineLevel="2" x14ac:dyDescent="0.2">
      <c r="B1964" s="73" t="s">
        <v>8294</v>
      </c>
      <c r="C1964" s="73"/>
      <c r="D1964" s="73"/>
    </row>
    <row r="1965" spans="2:35" ht="22.95" customHeight="1" outlineLevel="3" x14ac:dyDescent="0.2">
      <c r="B1965" s="74" t="s">
        <v>8295</v>
      </c>
      <c r="C1965" s="74"/>
      <c r="D1965" s="74"/>
    </row>
    <row r="1966" spans="2:35" ht="21" customHeight="1" outlineLevel="4" x14ac:dyDescent="0.2">
      <c r="B1966" s="42">
        <v>1531</v>
      </c>
      <c r="C1966" s="5" t="s">
        <v>8296</v>
      </c>
      <c r="D1966" s="5" t="s">
        <v>8297</v>
      </c>
      <c r="E1966" s="6" t="s">
        <v>8298</v>
      </c>
      <c r="F1966" s="10"/>
      <c r="G1966" s="11" t="s">
        <v>8299</v>
      </c>
      <c r="H1966" s="12">
        <v>10</v>
      </c>
      <c r="I1966" s="13" t="s">
        <v>41</v>
      </c>
      <c r="J1966" s="13"/>
      <c r="K1966" s="13"/>
      <c r="L1966" s="4">
        <v>1</v>
      </c>
      <c r="M1966" s="14">
        <f>599*(1-P3/100)</f>
        <v>599</v>
      </c>
      <c r="N1966" s="15"/>
      <c r="O1966" s="13">
        <f>M1966*N1966</f>
        <v>0</v>
      </c>
      <c r="P1966" s="22">
        <f>0.298*N1966</f>
        <v>0</v>
      </c>
      <c r="Q1966" s="23">
        <f>0.00049*N1966</f>
        <v>0</v>
      </c>
      <c r="R1966" s="24"/>
      <c r="S1966" s="25" t="s">
        <v>8300</v>
      </c>
      <c r="T1966" s="25" t="s">
        <v>43</v>
      </c>
      <c r="U1966" s="5" t="s">
        <v>7828</v>
      </c>
      <c r="V1966" s="5" t="s">
        <v>8301</v>
      </c>
      <c r="W1966" s="5" t="s">
        <v>2731</v>
      </c>
      <c r="X1966" s="5"/>
      <c r="Y1966" s="5"/>
      <c r="Z1966" s="5" t="str">
        <f>HYPERLINK("https://knigipp.ru/api/getInfo/image/6da9fc6e-25c0-11f0-a279-00155d82e908")</f>
        <v>https://knigipp.ru/api/getInfo/image/6da9fc6e-25c0-11f0-a279-00155d82e908</v>
      </c>
      <c r="AA1966" s="33">
        <v>64</v>
      </c>
      <c r="AB1966" s="5" t="s">
        <v>47</v>
      </c>
      <c r="AC1966" s="5" t="s">
        <v>86</v>
      </c>
      <c r="AD1966" s="5"/>
      <c r="AE1966" s="5" t="s">
        <v>49</v>
      </c>
      <c r="AF1966" s="5"/>
      <c r="AG1966" s="5"/>
      <c r="AH1966" s="5" t="s">
        <v>8302</v>
      </c>
    </row>
    <row r="1967" spans="2:35" ht="22.95" customHeight="1" outlineLevel="3" x14ac:dyDescent="0.2">
      <c r="B1967" s="74" t="s">
        <v>8303</v>
      </c>
      <c r="C1967" s="74"/>
      <c r="D1967" s="74"/>
    </row>
    <row r="1968" spans="2:35" ht="21" customHeight="1" outlineLevel="4" x14ac:dyDescent="0.2">
      <c r="B1968" s="42">
        <v>1532</v>
      </c>
      <c r="C1968" s="5" t="s">
        <v>8304</v>
      </c>
      <c r="D1968" s="5" t="s">
        <v>8305</v>
      </c>
      <c r="E1968" s="6" t="s">
        <v>8306</v>
      </c>
      <c r="F1968" s="10"/>
      <c r="G1968" s="11" t="s">
        <v>8307</v>
      </c>
      <c r="H1968" s="12">
        <v>20</v>
      </c>
      <c r="I1968" s="13" t="s">
        <v>41</v>
      </c>
      <c r="J1968" s="13"/>
      <c r="K1968" s="13"/>
      <c r="L1968" s="4">
        <v>2</v>
      </c>
      <c r="M1968" s="14">
        <f>382*(1-P3/100)</f>
        <v>382</v>
      </c>
      <c r="N1968" s="15"/>
      <c r="O1968" s="13">
        <f>M1968*N1968</f>
        <v>0</v>
      </c>
      <c r="P1968" s="22">
        <f>0.177*N1968</f>
        <v>0</v>
      </c>
      <c r="Q1968" s="23">
        <f>0.00055*N1968</f>
        <v>0</v>
      </c>
      <c r="R1968" s="24"/>
      <c r="S1968" s="25" t="s">
        <v>8308</v>
      </c>
      <c r="T1968" s="25" t="s">
        <v>43</v>
      </c>
      <c r="U1968" s="5" t="s">
        <v>8309</v>
      </c>
      <c r="V1968" s="5" t="s">
        <v>8310</v>
      </c>
      <c r="W1968" s="5" t="s">
        <v>2612</v>
      </c>
      <c r="X1968" s="5"/>
      <c r="Y1968" s="5"/>
      <c r="Z1968" s="5" t="str">
        <f>HYPERLINK("https://knigipp.ru/api/getInfo/image/73954588-25bb-11f0-a279-00155d82e908")</f>
        <v>https://knigipp.ru/api/getInfo/image/73954588-25bb-11f0-a279-00155d82e908</v>
      </c>
      <c r="AA1968" s="33">
        <v>160</v>
      </c>
      <c r="AB1968" s="5" t="s">
        <v>8311</v>
      </c>
      <c r="AC1968" s="5" t="s">
        <v>48</v>
      </c>
      <c r="AD1968" s="5"/>
      <c r="AE1968" s="5" t="s">
        <v>49</v>
      </c>
      <c r="AF1968" s="5"/>
      <c r="AG1968" s="5"/>
      <c r="AH1968" s="5" t="s">
        <v>8312</v>
      </c>
    </row>
    <row r="1969" spans="2:35" ht="21" customHeight="1" outlineLevel="4" x14ac:dyDescent="0.2">
      <c r="B1969" s="42">
        <v>1533</v>
      </c>
      <c r="C1969" s="5" t="s">
        <v>8313</v>
      </c>
      <c r="D1969" s="5" t="s">
        <v>8314</v>
      </c>
      <c r="E1969" s="6" t="s">
        <v>8315</v>
      </c>
      <c r="F1969" s="10"/>
      <c r="G1969" s="11" t="s">
        <v>8316</v>
      </c>
      <c r="H1969" s="12">
        <v>20</v>
      </c>
      <c r="I1969" s="13" t="s">
        <v>41</v>
      </c>
      <c r="J1969" s="13"/>
      <c r="K1969" s="13"/>
      <c r="L1969" s="4">
        <v>2</v>
      </c>
      <c r="M1969" s="14">
        <f>382*(1-P3/100)</f>
        <v>382</v>
      </c>
      <c r="N1969" s="15"/>
      <c r="O1969" s="13">
        <f>M1969*N1969</f>
        <v>0</v>
      </c>
      <c r="P1969" s="22">
        <f>0.172*N1969</f>
        <v>0</v>
      </c>
      <c r="Q1969" s="23">
        <f>0.00078*N1969</f>
        <v>0</v>
      </c>
      <c r="R1969" s="24"/>
      <c r="S1969" s="25" t="s">
        <v>8317</v>
      </c>
      <c r="T1969" s="25" t="s">
        <v>43</v>
      </c>
      <c r="U1969" s="5" t="s">
        <v>8318</v>
      </c>
      <c r="V1969" s="5" t="s">
        <v>8319</v>
      </c>
      <c r="W1969" s="5" t="s">
        <v>2612</v>
      </c>
      <c r="X1969" s="5"/>
      <c r="Y1969" s="5"/>
      <c r="Z1969" s="5" t="str">
        <f>HYPERLINK("https://knigipp.ru/api/getInfo/image/ef8b8004-66d4-11ef-a265-00155d82e908")</f>
        <v>https://knigipp.ru/api/getInfo/image/ef8b8004-66d4-11ef-a265-00155d82e908</v>
      </c>
      <c r="AA1969" s="33">
        <v>160</v>
      </c>
      <c r="AB1969" s="5" t="s">
        <v>1768</v>
      </c>
      <c r="AC1969" s="5" t="s">
        <v>48</v>
      </c>
      <c r="AD1969" s="5"/>
      <c r="AE1969" s="5" t="s">
        <v>49</v>
      </c>
      <c r="AF1969" s="5"/>
      <c r="AG1969" s="5"/>
      <c r="AH1969" s="5" t="s">
        <v>8312</v>
      </c>
    </row>
    <row r="1970" spans="2:35" ht="22.95" customHeight="1" outlineLevel="3" x14ac:dyDescent="0.2">
      <c r="B1970" s="74" t="s">
        <v>8320</v>
      </c>
      <c r="C1970" s="74"/>
      <c r="D1970" s="74"/>
    </row>
    <row r="1971" spans="2:35" ht="21" customHeight="1" outlineLevel="4" x14ac:dyDescent="0.2">
      <c r="B1971" s="42">
        <v>1534</v>
      </c>
      <c r="C1971" s="5" t="s">
        <v>8321</v>
      </c>
      <c r="D1971" s="5" t="s">
        <v>8322</v>
      </c>
      <c r="E1971" s="6" t="s">
        <v>8323</v>
      </c>
      <c r="F1971" s="10"/>
      <c r="G1971" s="11" t="s">
        <v>8324</v>
      </c>
      <c r="H1971" s="12">
        <v>20</v>
      </c>
      <c r="I1971" s="13" t="s">
        <v>41</v>
      </c>
      <c r="J1971" s="13"/>
      <c r="K1971" s="13"/>
      <c r="L1971" s="4">
        <v>2</v>
      </c>
      <c r="M1971" s="14">
        <f>296*(1-P3/100)</f>
        <v>296</v>
      </c>
      <c r="N1971" s="15"/>
      <c r="O1971" s="13">
        <f t="shared" ref="O1971:O1978" si="86">M1971*N1971</f>
        <v>0</v>
      </c>
      <c r="P1971" s="22">
        <f>0.178*N1971</f>
        <v>0</v>
      </c>
      <c r="Q1971" s="23">
        <f>0.00053*N1971</f>
        <v>0</v>
      </c>
      <c r="R1971" s="24"/>
      <c r="S1971" s="25" t="s">
        <v>8325</v>
      </c>
      <c r="T1971" s="25" t="s">
        <v>43</v>
      </c>
      <c r="U1971" s="5" t="s">
        <v>8326</v>
      </c>
      <c r="V1971" s="5" t="s">
        <v>8327</v>
      </c>
      <c r="W1971" s="5" t="s">
        <v>2612</v>
      </c>
      <c r="X1971" s="5"/>
      <c r="Y1971" s="5"/>
      <c r="Z1971" s="5" t="str">
        <f>HYPERLINK("https://knigipp.ru/api/getInfo/image/dd5ad2c9-cc09-11ee-a25a-00155d82e908")</f>
        <v>https://knigipp.ru/api/getInfo/image/dd5ad2c9-cc09-11ee-a25a-00155d82e908</v>
      </c>
      <c r="AA1971" s="33">
        <v>80</v>
      </c>
      <c r="AB1971" s="5" t="s">
        <v>47</v>
      </c>
      <c r="AC1971" s="5" t="s">
        <v>86</v>
      </c>
      <c r="AD1971" s="5"/>
      <c r="AE1971" s="5" t="s">
        <v>49</v>
      </c>
      <c r="AF1971" s="5"/>
      <c r="AG1971" s="5"/>
      <c r="AH1971" s="5" t="s">
        <v>8328</v>
      </c>
    </row>
    <row r="1972" spans="2:35" ht="21" customHeight="1" outlineLevel="4" x14ac:dyDescent="0.2">
      <c r="B1972" s="42">
        <v>1535</v>
      </c>
      <c r="C1972" s="5" t="s">
        <v>8329</v>
      </c>
      <c r="D1972" s="5" t="s">
        <v>8330</v>
      </c>
      <c r="E1972" s="6" t="s">
        <v>8331</v>
      </c>
      <c r="F1972" s="10"/>
      <c r="G1972" s="11" t="s">
        <v>8332</v>
      </c>
      <c r="H1972" s="12">
        <v>24</v>
      </c>
      <c r="I1972" s="13" t="s">
        <v>371</v>
      </c>
      <c r="J1972" s="13"/>
      <c r="K1972" s="13"/>
      <c r="L1972" s="4">
        <v>2</v>
      </c>
      <c r="M1972" s="14">
        <f>329*(1-P3/100)</f>
        <v>329</v>
      </c>
      <c r="N1972" s="15"/>
      <c r="O1972" s="13">
        <f t="shared" si="86"/>
        <v>0</v>
      </c>
      <c r="P1972" s="22">
        <f>0.166*N1972</f>
        <v>0</v>
      </c>
      <c r="Q1972" s="23">
        <f>0.00028*N1972</f>
        <v>0</v>
      </c>
      <c r="R1972" s="24"/>
      <c r="S1972" s="25" t="s">
        <v>8333</v>
      </c>
      <c r="T1972" s="25" t="s">
        <v>43</v>
      </c>
      <c r="U1972" s="5" t="s">
        <v>8334</v>
      </c>
      <c r="V1972" s="5" t="s">
        <v>8335</v>
      </c>
      <c r="W1972" s="5" t="s">
        <v>2612</v>
      </c>
      <c r="X1972" s="5"/>
      <c r="Y1972" s="5"/>
      <c r="Z1972" s="5" t="str">
        <f>HYPERLINK("https://knigipp.ru/api/getInfo/image/039a5093-dfd0-11ef-a273-00155d82e908")</f>
        <v>https://knigipp.ru/api/getInfo/image/039a5093-dfd0-11ef-a273-00155d82e908</v>
      </c>
      <c r="AA1972" s="33">
        <v>80</v>
      </c>
      <c r="AB1972" s="5" t="s">
        <v>47</v>
      </c>
      <c r="AC1972" s="5" t="s">
        <v>86</v>
      </c>
      <c r="AD1972" s="5"/>
      <c r="AE1972" s="5" t="s">
        <v>49</v>
      </c>
      <c r="AF1972" s="5"/>
      <c r="AG1972" s="5"/>
      <c r="AH1972" s="5" t="s">
        <v>130</v>
      </c>
    </row>
    <row r="1973" spans="2:35" ht="21" customHeight="1" outlineLevel="4" x14ac:dyDescent="0.2">
      <c r="B1973" s="42">
        <v>1536</v>
      </c>
      <c r="C1973" s="5" t="s">
        <v>8336</v>
      </c>
      <c r="D1973" s="5" t="s">
        <v>8337</v>
      </c>
      <c r="E1973" s="6" t="s">
        <v>8338</v>
      </c>
      <c r="F1973" s="10"/>
      <c r="G1973" s="11" t="s">
        <v>8339</v>
      </c>
      <c r="H1973" s="12">
        <v>24</v>
      </c>
      <c r="I1973" s="13" t="s">
        <v>41</v>
      </c>
      <c r="J1973" s="13"/>
      <c r="K1973" s="13"/>
      <c r="L1973" s="4">
        <v>2</v>
      </c>
      <c r="M1973" s="14">
        <f>377*(1-P3/100)</f>
        <v>377</v>
      </c>
      <c r="N1973" s="15"/>
      <c r="O1973" s="13">
        <f t="shared" si="86"/>
        <v>0</v>
      </c>
      <c r="P1973" s="22">
        <f>0.196*N1973</f>
        <v>0</v>
      </c>
      <c r="Q1973" s="23">
        <f>0.00055*N1973</f>
        <v>0</v>
      </c>
      <c r="R1973" s="24"/>
      <c r="S1973" s="25" t="s">
        <v>8340</v>
      </c>
      <c r="T1973" s="25" t="s">
        <v>43</v>
      </c>
      <c r="U1973" s="5" t="s">
        <v>8341</v>
      </c>
      <c r="V1973" s="5" t="s">
        <v>8342</v>
      </c>
      <c r="W1973" s="5" t="s">
        <v>2612</v>
      </c>
      <c r="X1973" s="5"/>
      <c r="Y1973" s="5"/>
      <c r="Z1973" s="5" t="str">
        <f>HYPERLINK("https://knigipp.ru/api/getInfo/image/29d50abc-6e13-11f0-a284-00155d82e908")</f>
        <v>https://knigipp.ru/api/getInfo/image/29d50abc-6e13-11f0-a284-00155d82e908</v>
      </c>
      <c r="AA1973" s="33">
        <v>80</v>
      </c>
      <c r="AB1973" s="5" t="s">
        <v>47</v>
      </c>
      <c r="AC1973" s="5" t="s">
        <v>86</v>
      </c>
      <c r="AD1973" s="5"/>
      <c r="AE1973" s="5" t="s">
        <v>49</v>
      </c>
      <c r="AF1973" s="5"/>
      <c r="AG1973" s="5"/>
      <c r="AH1973" s="5" t="s">
        <v>8343</v>
      </c>
    </row>
    <row r="1974" spans="2:35" ht="21" customHeight="1" outlineLevel="4" x14ac:dyDescent="0.2">
      <c r="B1974" s="43">
        <v>1537</v>
      </c>
      <c r="C1974" s="8" t="s">
        <v>8344</v>
      </c>
      <c r="D1974" s="8" t="s">
        <v>8345</v>
      </c>
      <c r="E1974" s="9" t="s">
        <v>8346</v>
      </c>
      <c r="F1974" s="16"/>
      <c r="G1974" s="17" t="s">
        <v>8347</v>
      </c>
      <c r="H1974" s="18">
        <v>24</v>
      </c>
      <c r="I1974" s="19" t="s">
        <v>41</v>
      </c>
      <c r="J1974" s="19"/>
      <c r="K1974" s="19"/>
      <c r="L1974" s="7">
        <v>2</v>
      </c>
      <c r="M1974" s="21">
        <f>377*(1-P3/100)</f>
        <v>377</v>
      </c>
      <c r="N1974" s="15"/>
      <c r="O1974" s="19">
        <f t="shared" si="86"/>
        <v>0</v>
      </c>
      <c r="P1974" s="38">
        <f>0.18*N1974</f>
        <v>0</v>
      </c>
      <c r="Q1974" s="27">
        <f>0.00039*N1974</f>
        <v>0</v>
      </c>
      <c r="R1974" s="28" t="s">
        <v>81</v>
      </c>
      <c r="S1974" s="29" t="s">
        <v>8348</v>
      </c>
      <c r="T1974" s="29" t="s">
        <v>43</v>
      </c>
      <c r="U1974" s="8" t="s">
        <v>8334</v>
      </c>
      <c r="V1974" s="8" t="s">
        <v>8349</v>
      </c>
      <c r="W1974" s="8" t="s">
        <v>2612</v>
      </c>
      <c r="X1974" s="8"/>
      <c r="Y1974" s="8"/>
      <c r="Z1974" s="8" t="str">
        <f>HYPERLINK("https://knigipp.ru/api/getInfo/image/d2fbd494-b65d-11f0-a286-00155d82e908")</f>
        <v>https://knigipp.ru/api/getInfo/image/d2fbd494-b65d-11f0-a286-00155d82e908</v>
      </c>
      <c r="AA1974" s="34">
        <v>80</v>
      </c>
      <c r="AB1974" s="8" t="s">
        <v>47</v>
      </c>
      <c r="AC1974" s="8" t="s">
        <v>86</v>
      </c>
      <c r="AD1974" s="8"/>
      <c r="AE1974" s="8" t="s">
        <v>49</v>
      </c>
      <c r="AF1974" s="8"/>
      <c r="AG1974" s="8"/>
      <c r="AH1974" s="8" t="s">
        <v>8343</v>
      </c>
      <c r="AI1974" s="55"/>
    </row>
    <row r="1975" spans="2:35" ht="21" customHeight="1" outlineLevel="4" x14ac:dyDescent="0.2">
      <c r="B1975" s="42">
        <v>1538</v>
      </c>
      <c r="C1975" s="5" t="s">
        <v>8350</v>
      </c>
      <c r="D1975" s="5" t="s">
        <v>8351</v>
      </c>
      <c r="E1975" s="6" t="s">
        <v>8352</v>
      </c>
      <c r="F1975" s="10"/>
      <c r="G1975" s="11" t="s">
        <v>8353</v>
      </c>
      <c r="H1975" s="12">
        <v>20</v>
      </c>
      <c r="I1975" s="13" t="s">
        <v>41</v>
      </c>
      <c r="J1975" s="13"/>
      <c r="K1975" s="13"/>
      <c r="L1975" s="4">
        <v>2</v>
      </c>
      <c r="M1975" s="14">
        <f>329*(1-P3/100)</f>
        <v>329</v>
      </c>
      <c r="N1975" s="15"/>
      <c r="O1975" s="13">
        <f t="shared" si="86"/>
        <v>0</v>
      </c>
      <c r="P1975" s="22">
        <f>0.176*N1975</f>
        <v>0</v>
      </c>
      <c r="Q1975" s="23">
        <f>0.00043*N1975</f>
        <v>0</v>
      </c>
      <c r="R1975" s="24"/>
      <c r="S1975" s="25" t="s">
        <v>8354</v>
      </c>
      <c r="T1975" s="25" t="s">
        <v>43</v>
      </c>
      <c r="U1975" s="5" t="s">
        <v>8326</v>
      </c>
      <c r="V1975" s="5" t="s">
        <v>8355</v>
      </c>
      <c r="W1975" s="5" t="s">
        <v>2612</v>
      </c>
      <c r="X1975" s="5"/>
      <c r="Y1975" s="5"/>
      <c r="Z1975" s="5" t="str">
        <f>HYPERLINK("https://knigipp.ru/api/getInfo/image/2f3472f8-9783-11ef-a267-00155d82e908")</f>
        <v>https://knigipp.ru/api/getInfo/image/2f3472f8-9783-11ef-a267-00155d82e908</v>
      </c>
      <c r="AA1975" s="33">
        <v>80</v>
      </c>
      <c r="AB1975" s="5" t="s">
        <v>47</v>
      </c>
      <c r="AC1975" s="5" t="s">
        <v>86</v>
      </c>
      <c r="AD1975" s="5"/>
      <c r="AE1975" s="5" t="s">
        <v>49</v>
      </c>
      <c r="AF1975" s="5"/>
      <c r="AG1975" s="5"/>
      <c r="AH1975" s="5" t="s">
        <v>8328</v>
      </c>
    </row>
    <row r="1976" spans="2:35" ht="21" customHeight="1" outlineLevel="4" x14ac:dyDescent="0.2">
      <c r="B1976" s="42">
        <v>1539</v>
      </c>
      <c r="C1976" s="5" t="s">
        <v>8356</v>
      </c>
      <c r="D1976" s="5" t="s">
        <v>8357</v>
      </c>
      <c r="E1976" s="6" t="s">
        <v>8358</v>
      </c>
      <c r="F1976" s="10"/>
      <c r="G1976" s="11" t="s">
        <v>8359</v>
      </c>
      <c r="H1976" s="12">
        <v>20</v>
      </c>
      <c r="I1976" s="13" t="s">
        <v>41</v>
      </c>
      <c r="J1976" s="13"/>
      <c r="K1976" s="13"/>
      <c r="L1976" s="4">
        <v>2</v>
      </c>
      <c r="M1976" s="14">
        <f>329*(1-P3/100)</f>
        <v>329</v>
      </c>
      <c r="N1976" s="15"/>
      <c r="O1976" s="13">
        <f t="shared" si="86"/>
        <v>0</v>
      </c>
      <c r="P1976" s="22">
        <f>0.175*N1976</f>
        <v>0</v>
      </c>
      <c r="Q1976" s="23">
        <f>0.00043*N1976</f>
        <v>0</v>
      </c>
      <c r="R1976" s="24"/>
      <c r="S1976" s="25" t="s">
        <v>8360</v>
      </c>
      <c r="T1976" s="25" t="s">
        <v>43</v>
      </c>
      <c r="U1976" s="5" t="s">
        <v>8334</v>
      </c>
      <c r="V1976" s="5" t="s">
        <v>8361</v>
      </c>
      <c r="W1976" s="5" t="s">
        <v>2612</v>
      </c>
      <c r="X1976" s="5"/>
      <c r="Y1976" s="5"/>
      <c r="Z1976" s="5" t="str">
        <f>HYPERLINK("https://knigipp.ru/api/getInfo/image/c3104f4f-d6d0-11ee-a25a-00155d82e908")</f>
        <v>https://knigipp.ru/api/getInfo/image/c3104f4f-d6d0-11ee-a25a-00155d82e908</v>
      </c>
      <c r="AA1976" s="33">
        <v>80</v>
      </c>
      <c r="AB1976" s="5" t="s">
        <v>47</v>
      </c>
      <c r="AC1976" s="5" t="s">
        <v>86</v>
      </c>
      <c r="AD1976" s="5"/>
      <c r="AE1976" s="5" t="s">
        <v>49</v>
      </c>
      <c r="AF1976" s="5"/>
      <c r="AG1976" s="5"/>
      <c r="AH1976" s="5" t="s">
        <v>8362</v>
      </c>
    </row>
    <row r="1977" spans="2:35" ht="21" customHeight="1" outlineLevel="4" x14ac:dyDescent="0.2">
      <c r="B1977" s="42">
        <v>1540</v>
      </c>
      <c r="C1977" s="5" t="s">
        <v>8363</v>
      </c>
      <c r="D1977" s="5" t="s">
        <v>8364</v>
      </c>
      <c r="E1977" s="6" t="s">
        <v>8365</v>
      </c>
      <c r="F1977" s="10"/>
      <c r="G1977" s="11" t="s">
        <v>8366</v>
      </c>
      <c r="H1977" s="12">
        <v>20</v>
      </c>
      <c r="I1977" s="13" t="s">
        <v>41</v>
      </c>
      <c r="J1977" s="13"/>
      <c r="K1977" s="13"/>
      <c r="L1977" s="4">
        <v>2</v>
      </c>
      <c r="M1977" s="14">
        <f>296*(1-P3/100)</f>
        <v>296</v>
      </c>
      <c r="N1977" s="15"/>
      <c r="O1977" s="13">
        <f t="shared" si="86"/>
        <v>0</v>
      </c>
      <c r="P1977" s="22">
        <f>0.218*N1977</f>
        <v>0</v>
      </c>
      <c r="Q1977" s="23">
        <f>0.00037*N1977</f>
        <v>0</v>
      </c>
      <c r="R1977" s="24"/>
      <c r="S1977" s="25" t="s">
        <v>8367</v>
      </c>
      <c r="T1977" s="25" t="s">
        <v>43</v>
      </c>
      <c r="U1977" s="5" t="s">
        <v>8341</v>
      </c>
      <c r="V1977" s="5" t="s">
        <v>8368</v>
      </c>
      <c r="W1977" s="5" t="s">
        <v>2612</v>
      </c>
      <c r="X1977" s="5" t="s">
        <v>3050</v>
      </c>
      <c r="Y1977" s="5"/>
      <c r="Z1977" s="5" t="str">
        <f>HYPERLINK("https://knigipp.ru/api/getInfo/image/d8732795-edc0-11ee-a25b-00155d82e908")</f>
        <v>https://knigipp.ru/api/getInfo/image/d8732795-edc0-11ee-a25b-00155d82e908</v>
      </c>
      <c r="AA1977" s="33">
        <v>80</v>
      </c>
      <c r="AB1977" s="5" t="s">
        <v>47</v>
      </c>
      <c r="AC1977" s="5" t="s">
        <v>86</v>
      </c>
      <c r="AD1977" s="5"/>
      <c r="AE1977" s="5" t="s">
        <v>49</v>
      </c>
      <c r="AF1977" s="5"/>
      <c r="AG1977" s="5"/>
      <c r="AH1977" s="5" t="s">
        <v>8328</v>
      </c>
    </row>
    <row r="1978" spans="2:35" ht="21" customHeight="1" outlineLevel="4" x14ac:dyDescent="0.2">
      <c r="B1978" s="42">
        <v>1541</v>
      </c>
      <c r="C1978" s="5" t="s">
        <v>8369</v>
      </c>
      <c r="D1978" s="5" t="s">
        <v>8370</v>
      </c>
      <c r="E1978" s="6" t="s">
        <v>8371</v>
      </c>
      <c r="F1978" s="10"/>
      <c r="G1978" s="11" t="s">
        <v>8372</v>
      </c>
      <c r="H1978" s="12">
        <v>20</v>
      </c>
      <c r="I1978" s="13" t="s">
        <v>41</v>
      </c>
      <c r="J1978" s="13"/>
      <c r="K1978" s="13"/>
      <c r="L1978" s="4">
        <v>2</v>
      </c>
      <c r="M1978" s="14">
        <f>349*(1-P3/100)</f>
        <v>349</v>
      </c>
      <c r="N1978" s="15"/>
      <c r="O1978" s="13">
        <f t="shared" si="86"/>
        <v>0</v>
      </c>
      <c r="P1978" s="22">
        <f>0.151*N1978</f>
        <v>0</v>
      </c>
      <c r="Q1978" s="23">
        <f>0.00032*N1978</f>
        <v>0</v>
      </c>
      <c r="R1978" s="24"/>
      <c r="S1978" s="25" t="s">
        <v>8373</v>
      </c>
      <c r="T1978" s="25" t="s">
        <v>43</v>
      </c>
      <c r="U1978" s="5" t="s">
        <v>8162</v>
      </c>
      <c r="V1978" s="5" t="s">
        <v>8374</v>
      </c>
      <c r="W1978" s="5" t="s">
        <v>2612</v>
      </c>
      <c r="X1978" s="5"/>
      <c r="Y1978" s="5"/>
      <c r="Z1978" s="5" t="str">
        <f>HYPERLINK("https://knigipp.ru/api/getInfo/image/2c4f3a2b-6dbc-11ee-a247-00155d82e902")</f>
        <v>https://knigipp.ru/api/getInfo/image/2c4f3a2b-6dbc-11ee-a247-00155d82e902</v>
      </c>
      <c r="AA1978" s="33">
        <v>80</v>
      </c>
      <c r="AB1978" s="5" t="s">
        <v>47</v>
      </c>
      <c r="AC1978" s="5" t="s">
        <v>86</v>
      </c>
      <c r="AD1978" s="5"/>
      <c r="AE1978" s="5" t="s">
        <v>49</v>
      </c>
      <c r="AF1978" s="5"/>
      <c r="AG1978" s="5"/>
      <c r="AH1978" s="5" t="s">
        <v>8328</v>
      </c>
    </row>
    <row r="1979" spans="2:35" ht="22.95" customHeight="1" outlineLevel="3" x14ac:dyDescent="0.2">
      <c r="B1979" s="74" t="s">
        <v>8375</v>
      </c>
      <c r="C1979" s="74"/>
      <c r="D1979" s="74"/>
    </row>
    <row r="1980" spans="2:35" ht="21" customHeight="1" outlineLevel="4" x14ac:dyDescent="0.2">
      <c r="B1980" s="42">
        <v>1542</v>
      </c>
      <c r="C1980" s="5" t="s">
        <v>8376</v>
      </c>
      <c r="D1980" s="5" t="s">
        <v>8377</v>
      </c>
      <c r="E1980" s="6" t="s">
        <v>8378</v>
      </c>
      <c r="F1980" s="10"/>
      <c r="G1980" s="11" t="s">
        <v>8379</v>
      </c>
      <c r="H1980" s="12">
        <v>20</v>
      </c>
      <c r="I1980" s="13" t="s">
        <v>41</v>
      </c>
      <c r="J1980" s="13"/>
      <c r="K1980" s="13"/>
      <c r="L1980" s="4">
        <v>1</v>
      </c>
      <c r="M1980" s="14">
        <f>549*(1-P3/100)</f>
        <v>549</v>
      </c>
      <c r="N1980" s="15"/>
      <c r="O1980" s="13">
        <f>M1980*N1980</f>
        <v>0</v>
      </c>
      <c r="P1980" s="22">
        <f>0.274*N1980</f>
        <v>0</v>
      </c>
      <c r="Q1980" s="23">
        <f>0.00046*N1980</f>
        <v>0</v>
      </c>
      <c r="R1980" s="24"/>
      <c r="S1980" s="25" t="s">
        <v>8380</v>
      </c>
      <c r="T1980" s="25" t="s">
        <v>43</v>
      </c>
      <c r="U1980" s="5" t="s">
        <v>8381</v>
      </c>
      <c r="V1980" s="5" t="s">
        <v>8382</v>
      </c>
      <c r="W1980" s="5" t="s">
        <v>2612</v>
      </c>
      <c r="X1980" s="5"/>
      <c r="Y1980" s="5"/>
      <c r="Z1980" s="5" t="str">
        <f>HYPERLINK("https://knigipp.ru/api/getInfo/image/a1ed79c8-d1e9-11ed-a230-00155d82e902")</f>
        <v>https://knigipp.ru/api/getInfo/image/a1ed79c8-d1e9-11ed-a230-00155d82e902</v>
      </c>
      <c r="AA1980" s="33">
        <v>144</v>
      </c>
      <c r="AB1980" s="5" t="s">
        <v>47</v>
      </c>
      <c r="AC1980" s="5" t="s">
        <v>86</v>
      </c>
      <c r="AD1980" s="5"/>
      <c r="AE1980" s="5" t="s">
        <v>49</v>
      </c>
      <c r="AF1980" s="5"/>
      <c r="AG1980" s="5"/>
      <c r="AH1980" s="5" t="s">
        <v>8074</v>
      </c>
    </row>
    <row r="1981" spans="2:35" ht="21" customHeight="1" outlineLevel="4" x14ac:dyDescent="0.2">
      <c r="B1981" s="42">
        <v>1543</v>
      </c>
      <c r="C1981" s="5" t="s">
        <v>8383</v>
      </c>
      <c r="D1981" s="5" t="s">
        <v>8384</v>
      </c>
      <c r="E1981" s="6" t="s">
        <v>8385</v>
      </c>
      <c r="F1981" s="10"/>
      <c r="G1981" s="11" t="s">
        <v>8386</v>
      </c>
      <c r="H1981" s="12">
        <v>20</v>
      </c>
      <c r="I1981" s="13" t="s">
        <v>41</v>
      </c>
      <c r="J1981" s="13"/>
      <c r="K1981" s="13"/>
      <c r="L1981" s="4">
        <v>2</v>
      </c>
      <c r="M1981" s="14">
        <f>382*(1-P3/100)</f>
        <v>382</v>
      </c>
      <c r="N1981" s="15"/>
      <c r="O1981" s="13">
        <f>M1981*N1981</f>
        <v>0</v>
      </c>
      <c r="P1981" s="22">
        <f>0.231*N1981</f>
        <v>0</v>
      </c>
      <c r="Q1981" s="30">
        <f>0.0004*N1981</f>
        <v>0</v>
      </c>
      <c r="R1981" s="24"/>
      <c r="S1981" s="25" t="s">
        <v>8387</v>
      </c>
      <c r="T1981" s="25" t="s">
        <v>43</v>
      </c>
      <c r="U1981" s="5" t="s">
        <v>8170</v>
      </c>
      <c r="V1981" s="5" t="s">
        <v>8388</v>
      </c>
      <c r="W1981" s="5" t="s">
        <v>2731</v>
      </c>
      <c r="X1981" s="5" t="s">
        <v>2160</v>
      </c>
      <c r="Y1981" s="5"/>
      <c r="Z1981" s="5" t="str">
        <f>HYPERLINK("https://knigipp.ru/api/getInfo/image/5f84b4e8-7f38-11ef-a265-00155d82e908")</f>
        <v>https://knigipp.ru/api/getInfo/image/5f84b4e8-7f38-11ef-a265-00155d82e908</v>
      </c>
      <c r="AA1981" s="33">
        <v>112</v>
      </c>
      <c r="AB1981" s="5"/>
      <c r="AC1981" s="5" t="s">
        <v>86</v>
      </c>
      <c r="AD1981" s="5"/>
      <c r="AE1981" s="5" t="s">
        <v>49</v>
      </c>
      <c r="AF1981" s="5"/>
      <c r="AG1981" s="5"/>
      <c r="AH1981" s="5" t="s">
        <v>8389</v>
      </c>
    </row>
    <row r="1982" spans="2:35" ht="21" customHeight="1" outlineLevel="4" x14ac:dyDescent="0.2">
      <c r="B1982" s="42">
        <v>1544</v>
      </c>
      <c r="C1982" s="5" t="s">
        <v>8390</v>
      </c>
      <c r="D1982" s="5" t="s">
        <v>8391</v>
      </c>
      <c r="E1982" s="6" t="s">
        <v>8392</v>
      </c>
      <c r="F1982" s="10"/>
      <c r="G1982" s="11" t="s">
        <v>8393</v>
      </c>
      <c r="H1982" s="12">
        <v>10</v>
      </c>
      <c r="I1982" s="13" t="s">
        <v>41</v>
      </c>
      <c r="J1982" s="13"/>
      <c r="K1982" s="13"/>
      <c r="L1982" s="4">
        <v>1</v>
      </c>
      <c r="M1982" s="14">
        <f>647*(1-P3/100)</f>
        <v>647</v>
      </c>
      <c r="N1982" s="15"/>
      <c r="O1982" s="13">
        <f>M1982*N1982</f>
        <v>0</v>
      </c>
      <c r="P1982" s="22">
        <f>0.447*N1982</f>
        <v>0</v>
      </c>
      <c r="Q1982" s="30">
        <f>0.0006*N1982</f>
        <v>0</v>
      </c>
      <c r="R1982" s="24"/>
      <c r="S1982" s="25" t="s">
        <v>8394</v>
      </c>
      <c r="T1982" s="25" t="s">
        <v>43</v>
      </c>
      <c r="U1982" s="5" t="s">
        <v>7973</v>
      </c>
      <c r="V1982" s="5" t="s">
        <v>8395</v>
      </c>
      <c r="W1982" s="5" t="s">
        <v>2612</v>
      </c>
      <c r="X1982" s="5"/>
      <c r="Y1982" s="5"/>
      <c r="Z1982" s="5" t="str">
        <f>HYPERLINK("https://knigipp.ru/api/getInfo/image/d630caea-dfdc-11ef-a273-00155d82e908")</f>
        <v>https://knigipp.ru/api/getInfo/image/d630caea-dfdc-11ef-a273-00155d82e908</v>
      </c>
      <c r="AA1982" s="33">
        <v>336</v>
      </c>
      <c r="AB1982" s="5" t="s">
        <v>47</v>
      </c>
      <c r="AC1982" s="5" t="s">
        <v>86</v>
      </c>
      <c r="AD1982" s="5"/>
      <c r="AE1982" s="5" t="s">
        <v>49</v>
      </c>
      <c r="AF1982" s="5"/>
      <c r="AG1982" s="5"/>
      <c r="AH1982" s="5" t="s">
        <v>8396</v>
      </c>
    </row>
    <row r="1983" spans="2:35" ht="22.95" customHeight="1" outlineLevel="2" x14ac:dyDescent="0.2">
      <c r="B1983" s="73" t="s">
        <v>8397</v>
      </c>
      <c r="C1983" s="73"/>
      <c r="D1983" s="73"/>
    </row>
    <row r="1984" spans="2:35" ht="21" customHeight="1" outlineLevel="3" x14ac:dyDescent="0.2">
      <c r="B1984" s="42">
        <v>1545</v>
      </c>
      <c r="C1984" s="5" t="s">
        <v>8398</v>
      </c>
      <c r="D1984" s="5" t="s">
        <v>8399</v>
      </c>
      <c r="E1984" s="6" t="s">
        <v>8400</v>
      </c>
      <c r="F1984" s="10"/>
      <c r="G1984" s="11" t="s">
        <v>8401</v>
      </c>
      <c r="H1984" s="12">
        <v>10</v>
      </c>
      <c r="I1984" s="13" t="s">
        <v>41</v>
      </c>
      <c r="J1984" s="13"/>
      <c r="K1984" s="13"/>
      <c r="L1984" s="4">
        <v>2</v>
      </c>
      <c r="M1984" s="14">
        <f>847*(1-P3/100)</f>
        <v>847</v>
      </c>
      <c r="N1984" s="15"/>
      <c r="O1984" s="13">
        <f t="shared" ref="O1984:O1993" si="87">M1984*N1984</f>
        <v>0</v>
      </c>
      <c r="P1984" s="22">
        <f>0.479*N1984</f>
        <v>0</v>
      </c>
      <c r="Q1984" s="23">
        <f>0.00059*N1984</f>
        <v>0</v>
      </c>
      <c r="R1984" s="24"/>
      <c r="S1984" s="25" t="s">
        <v>8402</v>
      </c>
      <c r="T1984" s="25" t="s">
        <v>94</v>
      </c>
      <c r="U1984" s="5" t="s">
        <v>8403</v>
      </c>
      <c r="V1984" s="5" t="s">
        <v>8404</v>
      </c>
      <c r="W1984" s="5" t="s">
        <v>463</v>
      </c>
      <c r="X1984" s="5"/>
      <c r="Y1984" s="5"/>
      <c r="Z1984" s="5" t="str">
        <f>HYPERLINK("https://knigipp.ru/api/getInfo/image/79acd91b-0e3c-11f0-a279-00155d82e908")</f>
        <v>https://knigipp.ru/api/getInfo/image/79acd91b-0e3c-11f0-a279-00155d82e908</v>
      </c>
      <c r="AA1984" s="33">
        <v>288</v>
      </c>
      <c r="AB1984" s="5" t="s">
        <v>47</v>
      </c>
      <c r="AC1984" s="5" t="s">
        <v>86</v>
      </c>
      <c r="AD1984" s="5"/>
      <c r="AE1984" s="5" t="s">
        <v>49</v>
      </c>
      <c r="AF1984" s="5"/>
      <c r="AG1984" s="5"/>
      <c r="AH1984" s="5" t="s">
        <v>8405</v>
      </c>
    </row>
    <row r="1985" spans="2:35" ht="21" customHeight="1" outlineLevel="3" x14ac:dyDescent="0.2">
      <c r="B1985" s="42">
        <v>1546</v>
      </c>
      <c r="C1985" s="5" t="s">
        <v>8406</v>
      </c>
      <c r="D1985" s="5" t="s">
        <v>8407</v>
      </c>
      <c r="E1985" s="6" t="s">
        <v>8408</v>
      </c>
      <c r="F1985" s="10"/>
      <c r="G1985" s="11" t="s">
        <v>8409</v>
      </c>
      <c r="H1985" s="12">
        <v>20</v>
      </c>
      <c r="I1985" s="13" t="s">
        <v>41</v>
      </c>
      <c r="J1985" s="13"/>
      <c r="K1985" s="13"/>
      <c r="L1985" s="4">
        <v>2</v>
      </c>
      <c r="M1985" s="14">
        <f>447*(1-P3/100)</f>
        <v>447</v>
      </c>
      <c r="N1985" s="15"/>
      <c r="O1985" s="13">
        <f t="shared" si="87"/>
        <v>0</v>
      </c>
      <c r="P1985" s="32">
        <f>0.27*N1985</f>
        <v>0</v>
      </c>
      <c r="Q1985" s="23">
        <f>0.00047*N1985</f>
        <v>0</v>
      </c>
      <c r="R1985" s="24"/>
      <c r="S1985" s="25" t="s">
        <v>8410</v>
      </c>
      <c r="T1985" s="25" t="s">
        <v>43</v>
      </c>
      <c r="U1985" s="5" t="s">
        <v>8411</v>
      </c>
      <c r="V1985" s="5" t="s">
        <v>8412</v>
      </c>
      <c r="W1985" s="5" t="s">
        <v>2612</v>
      </c>
      <c r="X1985" s="5"/>
      <c r="Y1985" s="5"/>
      <c r="Z1985" s="5" t="str">
        <f>HYPERLINK("https://knigipp.ru/api/getInfo/image/fe91e130-ae57-11ef-a267-00155d82e908")</f>
        <v>https://knigipp.ru/api/getInfo/image/fe91e130-ae57-11ef-a267-00155d82e908</v>
      </c>
      <c r="AA1985" s="33">
        <v>176</v>
      </c>
      <c r="AB1985" s="5" t="s">
        <v>47</v>
      </c>
      <c r="AC1985" s="5" t="s">
        <v>86</v>
      </c>
      <c r="AD1985" s="5"/>
      <c r="AE1985" s="5" t="s">
        <v>49</v>
      </c>
      <c r="AF1985" s="5"/>
      <c r="AG1985" s="5"/>
      <c r="AH1985" s="5" t="s">
        <v>2282</v>
      </c>
    </row>
    <row r="1986" spans="2:35" ht="21" customHeight="1" outlineLevel="3" x14ac:dyDescent="0.2">
      <c r="B1986" s="42">
        <v>1547</v>
      </c>
      <c r="C1986" s="5" t="s">
        <v>8413</v>
      </c>
      <c r="D1986" s="5" t="s">
        <v>8414</v>
      </c>
      <c r="E1986" s="6" t="s">
        <v>8415</v>
      </c>
      <c r="F1986" s="10"/>
      <c r="G1986" s="11" t="s">
        <v>8416</v>
      </c>
      <c r="H1986" s="12">
        <v>5</v>
      </c>
      <c r="I1986" s="13" t="s">
        <v>41</v>
      </c>
      <c r="J1986" s="13"/>
      <c r="K1986" s="13"/>
      <c r="L1986" s="4">
        <v>2</v>
      </c>
      <c r="M1986" s="14">
        <f>677*(1-P3/100)</f>
        <v>677</v>
      </c>
      <c r="N1986" s="15"/>
      <c r="O1986" s="13">
        <f t="shared" si="87"/>
        <v>0</v>
      </c>
      <c r="P1986" s="22">
        <f>0.401*N1986</f>
        <v>0</v>
      </c>
      <c r="Q1986" s="23">
        <f>0.00059*N1986</f>
        <v>0</v>
      </c>
      <c r="R1986" s="24"/>
      <c r="S1986" s="25" t="s">
        <v>8417</v>
      </c>
      <c r="T1986" s="25" t="s">
        <v>94</v>
      </c>
      <c r="U1986" s="5" t="s">
        <v>8418</v>
      </c>
      <c r="V1986" s="5" t="s">
        <v>8419</v>
      </c>
      <c r="W1986" s="5" t="s">
        <v>463</v>
      </c>
      <c r="X1986" s="5"/>
      <c r="Y1986" s="5"/>
      <c r="Z1986" s="5" t="str">
        <f>HYPERLINK("https://knigipp.ru/api/getInfo/image/26bb318c-dfda-11ef-a273-00155d82e908")</f>
        <v>https://knigipp.ru/api/getInfo/image/26bb318c-dfda-11ef-a273-00155d82e908</v>
      </c>
      <c r="AA1986" s="33">
        <v>240</v>
      </c>
      <c r="AB1986" s="5" t="s">
        <v>47</v>
      </c>
      <c r="AC1986" s="5" t="s">
        <v>86</v>
      </c>
      <c r="AD1986" s="5"/>
      <c r="AE1986" s="5" t="s">
        <v>49</v>
      </c>
      <c r="AF1986" s="5"/>
      <c r="AG1986" s="5"/>
      <c r="AH1986" s="5" t="s">
        <v>859</v>
      </c>
    </row>
    <row r="1987" spans="2:35" ht="21" customHeight="1" outlineLevel="3" x14ac:dyDescent="0.2">
      <c r="B1987" s="42">
        <v>1548</v>
      </c>
      <c r="C1987" s="5" t="s">
        <v>8420</v>
      </c>
      <c r="D1987" s="5" t="s">
        <v>8421</v>
      </c>
      <c r="E1987" s="6" t="s">
        <v>8422</v>
      </c>
      <c r="F1987" s="10"/>
      <c r="G1987" s="11" t="s">
        <v>8423</v>
      </c>
      <c r="H1987" s="12">
        <v>20</v>
      </c>
      <c r="I1987" s="13" t="s">
        <v>41</v>
      </c>
      <c r="J1987" s="13"/>
      <c r="K1987" s="13"/>
      <c r="L1987" s="4">
        <v>2</v>
      </c>
      <c r="M1987" s="14">
        <f>417*(1-P3/100)</f>
        <v>417</v>
      </c>
      <c r="N1987" s="15"/>
      <c r="O1987" s="13">
        <f t="shared" si="87"/>
        <v>0</v>
      </c>
      <c r="P1987" s="22">
        <f>0.285*N1987</f>
        <v>0</v>
      </c>
      <c r="Q1987" s="30">
        <f>0.0005*N1987</f>
        <v>0</v>
      </c>
      <c r="R1987" s="24"/>
      <c r="S1987" s="25" t="s">
        <v>8424</v>
      </c>
      <c r="T1987" s="25" t="s">
        <v>43</v>
      </c>
      <c r="U1987" s="5" t="s">
        <v>8411</v>
      </c>
      <c r="V1987" s="5" t="s">
        <v>8425</v>
      </c>
      <c r="W1987" s="5" t="s">
        <v>2612</v>
      </c>
      <c r="X1987" s="5"/>
      <c r="Y1987" s="5"/>
      <c r="Z1987" s="5" t="str">
        <f>HYPERLINK("https://knigipp.ru/api/getInfo/image/ba0abcf0-ae57-11ef-a267-00155d82e908")</f>
        <v>https://knigipp.ru/api/getInfo/image/ba0abcf0-ae57-11ef-a267-00155d82e908</v>
      </c>
      <c r="AA1987" s="33">
        <v>192</v>
      </c>
      <c r="AB1987" s="5" t="s">
        <v>47</v>
      </c>
      <c r="AC1987" s="5" t="s">
        <v>86</v>
      </c>
      <c r="AD1987" s="5"/>
      <c r="AE1987" s="5" t="s">
        <v>49</v>
      </c>
      <c r="AF1987" s="5"/>
      <c r="AG1987" s="5"/>
      <c r="AH1987" s="5" t="s">
        <v>1996</v>
      </c>
    </row>
    <row r="1988" spans="2:35" ht="21" customHeight="1" outlineLevel="3" x14ac:dyDescent="0.2">
      <c r="B1988" s="43">
        <v>1549</v>
      </c>
      <c r="C1988" s="8" t="s">
        <v>8426</v>
      </c>
      <c r="D1988" s="8" t="s">
        <v>8427</v>
      </c>
      <c r="E1988" s="9" t="s">
        <v>8428</v>
      </c>
      <c r="F1988" s="16"/>
      <c r="G1988" s="17" t="s">
        <v>8429</v>
      </c>
      <c r="H1988" s="18">
        <v>5</v>
      </c>
      <c r="I1988" s="19" t="s">
        <v>41</v>
      </c>
      <c r="J1988" s="19"/>
      <c r="K1988" s="19"/>
      <c r="L1988" s="7">
        <v>2</v>
      </c>
      <c r="M1988" s="21">
        <f>847*(1-P3/100)</f>
        <v>847</v>
      </c>
      <c r="N1988" s="15"/>
      <c r="O1988" s="19">
        <f t="shared" si="87"/>
        <v>0</v>
      </c>
      <c r="P1988" s="26">
        <f>0.484*N1988</f>
        <v>0</v>
      </c>
      <c r="Q1988" s="27">
        <f>0.00062*N1988</f>
        <v>0</v>
      </c>
      <c r="R1988" s="28" t="s">
        <v>81</v>
      </c>
      <c r="S1988" s="29" t="s">
        <v>8430</v>
      </c>
      <c r="T1988" s="29" t="s">
        <v>94</v>
      </c>
      <c r="U1988" s="8" t="s">
        <v>8431</v>
      </c>
      <c r="V1988" s="8" t="s">
        <v>8432</v>
      </c>
      <c r="W1988" s="8" t="s">
        <v>463</v>
      </c>
      <c r="X1988" s="8"/>
      <c r="Y1988" s="8"/>
      <c r="Z1988" s="8" t="str">
        <f>HYPERLINK("https://knigipp.ru/api/getInfo/image/93080743-cc65-11f0-a28a-00155d82e908")</f>
        <v>https://knigipp.ru/api/getInfo/image/93080743-cc65-11f0-a28a-00155d82e908</v>
      </c>
      <c r="AA1988" s="34">
        <v>304</v>
      </c>
      <c r="AB1988" s="8" t="s">
        <v>47</v>
      </c>
      <c r="AC1988" s="8" t="s">
        <v>86</v>
      </c>
      <c r="AD1988" s="8"/>
      <c r="AE1988" s="8" t="s">
        <v>49</v>
      </c>
      <c r="AF1988" s="8"/>
      <c r="AG1988" s="8"/>
      <c r="AH1988" s="8" t="s">
        <v>8433</v>
      </c>
      <c r="AI1988" s="55"/>
    </row>
    <row r="1989" spans="2:35" ht="21" customHeight="1" outlineLevel="3" x14ac:dyDescent="0.2">
      <c r="B1989" s="43">
        <v>1550</v>
      </c>
      <c r="C1989" s="8" t="s">
        <v>8434</v>
      </c>
      <c r="D1989" s="8" t="s">
        <v>8435</v>
      </c>
      <c r="E1989" s="9" t="s">
        <v>8436</v>
      </c>
      <c r="F1989" s="16"/>
      <c r="G1989" s="17" t="s">
        <v>8437</v>
      </c>
      <c r="H1989" s="18">
        <v>10</v>
      </c>
      <c r="I1989" s="19" t="s">
        <v>41</v>
      </c>
      <c r="J1989" s="19"/>
      <c r="K1989" s="19"/>
      <c r="L1989" s="7">
        <v>2</v>
      </c>
      <c r="M1989" s="21">
        <f>847*(1-P3/100)</f>
        <v>847</v>
      </c>
      <c r="N1989" s="15"/>
      <c r="O1989" s="19">
        <f t="shared" si="87"/>
        <v>0</v>
      </c>
      <c r="P1989" s="26">
        <f>0.437*N1989</f>
        <v>0</v>
      </c>
      <c r="Q1989" s="31">
        <f>0.0006*N1989</f>
        <v>0</v>
      </c>
      <c r="R1989" s="28" t="s">
        <v>81</v>
      </c>
      <c r="S1989" s="29" t="s">
        <v>8438</v>
      </c>
      <c r="T1989" s="29" t="s">
        <v>94</v>
      </c>
      <c r="U1989" s="8" t="s">
        <v>8439</v>
      </c>
      <c r="V1989" s="8" t="s">
        <v>8440</v>
      </c>
      <c r="W1989" s="8" t="s">
        <v>463</v>
      </c>
      <c r="X1989" s="8"/>
      <c r="Y1989" s="8"/>
      <c r="Z1989" s="8" t="str">
        <f>HYPERLINK("https://knigipp.ru/api/getInfo/image/0c02f6ba-e572-11f0-a28c-00155d82e908")</f>
        <v>https://knigipp.ru/api/getInfo/image/0c02f6ba-e572-11f0-a28c-00155d82e908</v>
      </c>
      <c r="AA1989" s="34">
        <v>336</v>
      </c>
      <c r="AB1989" s="8" t="s">
        <v>47</v>
      </c>
      <c r="AC1989" s="8" t="s">
        <v>86</v>
      </c>
      <c r="AD1989" s="8"/>
      <c r="AE1989" s="8" t="s">
        <v>49</v>
      </c>
      <c r="AF1989" s="8"/>
      <c r="AG1989" s="8"/>
      <c r="AH1989" s="8" t="s">
        <v>8441</v>
      </c>
      <c r="AI1989" s="55"/>
    </row>
    <row r="1990" spans="2:35" ht="21" customHeight="1" outlineLevel="3" x14ac:dyDescent="0.2">
      <c r="B1990" s="42">
        <v>1551</v>
      </c>
      <c r="C1990" s="5" t="s">
        <v>8442</v>
      </c>
      <c r="D1990" s="5" t="s">
        <v>8443</v>
      </c>
      <c r="E1990" s="6" t="s">
        <v>8444</v>
      </c>
      <c r="F1990" s="10"/>
      <c r="G1990" s="11" t="s">
        <v>8445</v>
      </c>
      <c r="H1990" s="12">
        <v>20</v>
      </c>
      <c r="I1990" s="13" t="s">
        <v>41</v>
      </c>
      <c r="J1990" s="13"/>
      <c r="K1990" s="13"/>
      <c r="L1990" s="4">
        <v>2</v>
      </c>
      <c r="M1990" s="14">
        <f>447*(1-P3/100)</f>
        <v>447</v>
      </c>
      <c r="N1990" s="15"/>
      <c r="O1990" s="13">
        <f t="shared" si="87"/>
        <v>0</v>
      </c>
      <c r="P1990" s="22">
        <f>0.285*N1990</f>
        <v>0</v>
      </c>
      <c r="Q1990" s="23">
        <f>0.00062*N1990</f>
        <v>0</v>
      </c>
      <c r="R1990" s="24"/>
      <c r="S1990" s="25" t="s">
        <v>8446</v>
      </c>
      <c r="T1990" s="25" t="s">
        <v>94</v>
      </c>
      <c r="U1990" s="5" t="s">
        <v>8447</v>
      </c>
      <c r="V1990" s="5" t="s">
        <v>8448</v>
      </c>
      <c r="W1990" s="5" t="s">
        <v>463</v>
      </c>
      <c r="X1990" s="5"/>
      <c r="Y1990" s="5"/>
      <c r="Z1990" s="5" t="str">
        <f>HYPERLINK("https://knigipp.ru/api/getInfo/image/7258ad22-9e06-11f0-a285-00155d82e908")</f>
        <v>https://knigipp.ru/api/getInfo/image/7258ad22-9e06-11f0-a285-00155d82e908</v>
      </c>
      <c r="AA1990" s="33">
        <v>192</v>
      </c>
      <c r="AB1990" s="5" t="s">
        <v>2984</v>
      </c>
      <c r="AC1990" s="5" t="s">
        <v>86</v>
      </c>
      <c r="AD1990" s="5"/>
      <c r="AE1990" s="5" t="s">
        <v>49</v>
      </c>
      <c r="AF1990" s="5"/>
      <c r="AG1990" s="5"/>
      <c r="AH1990" s="5" t="s">
        <v>1996</v>
      </c>
    </row>
    <row r="1991" spans="2:35" ht="21" customHeight="1" outlineLevel="3" x14ac:dyDescent="0.2">
      <c r="B1991" s="42">
        <v>1552</v>
      </c>
      <c r="C1991" s="5" t="s">
        <v>8449</v>
      </c>
      <c r="D1991" s="5" t="s">
        <v>8450</v>
      </c>
      <c r="E1991" s="6" t="s">
        <v>8451</v>
      </c>
      <c r="F1991" s="10"/>
      <c r="G1991" s="11" t="s">
        <v>8452</v>
      </c>
      <c r="H1991" s="12">
        <v>20</v>
      </c>
      <c r="I1991" s="13" t="s">
        <v>41</v>
      </c>
      <c r="J1991" s="13"/>
      <c r="K1991" s="13"/>
      <c r="L1991" s="4">
        <v>2</v>
      </c>
      <c r="M1991" s="14">
        <f>467*(1-P3/100)</f>
        <v>467</v>
      </c>
      <c r="N1991" s="15"/>
      <c r="O1991" s="13">
        <f t="shared" si="87"/>
        <v>0</v>
      </c>
      <c r="P1991" s="22">
        <f>0.295*N1991</f>
        <v>0</v>
      </c>
      <c r="Q1991" s="23">
        <f>0.00037*N1991</f>
        <v>0</v>
      </c>
      <c r="R1991" s="24"/>
      <c r="S1991" s="25" t="s">
        <v>8453</v>
      </c>
      <c r="T1991" s="25" t="s">
        <v>43</v>
      </c>
      <c r="U1991" s="5" t="s">
        <v>8411</v>
      </c>
      <c r="V1991" s="5" t="s">
        <v>8454</v>
      </c>
      <c r="W1991" s="5" t="s">
        <v>2612</v>
      </c>
      <c r="X1991" s="5"/>
      <c r="Y1991" s="5"/>
      <c r="Z1991" s="5" t="str">
        <f>HYPERLINK("https://knigipp.ru/api/getInfo/image/d4c5e0a9-3d56-11f0-a27c-00155d82e908")</f>
        <v>https://knigipp.ru/api/getInfo/image/d4c5e0a9-3d56-11f0-a27c-00155d82e908</v>
      </c>
      <c r="AA1991" s="33">
        <v>160</v>
      </c>
      <c r="AB1991" s="5" t="s">
        <v>47</v>
      </c>
      <c r="AC1991" s="5" t="s">
        <v>86</v>
      </c>
      <c r="AD1991" s="5"/>
      <c r="AE1991" s="5" t="s">
        <v>49</v>
      </c>
      <c r="AF1991" s="5"/>
      <c r="AG1991" s="5"/>
      <c r="AH1991" s="5" t="s">
        <v>1996</v>
      </c>
    </row>
    <row r="1992" spans="2:35" ht="21" customHeight="1" outlineLevel="3" x14ac:dyDescent="0.2">
      <c r="B1992" s="42">
        <v>1553</v>
      </c>
      <c r="C1992" s="5" t="s">
        <v>8455</v>
      </c>
      <c r="D1992" s="5" t="s">
        <v>8456</v>
      </c>
      <c r="E1992" s="6" t="s">
        <v>8457</v>
      </c>
      <c r="F1992" s="10"/>
      <c r="G1992" s="11" t="s">
        <v>8458</v>
      </c>
      <c r="H1992" s="12">
        <v>5</v>
      </c>
      <c r="I1992" s="13" t="s">
        <v>41</v>
      </c>
      <c r="J1992" s="13"/>
      <c r="K1992" s="13"/>
      <c r="L1992" s="4">
        <v>2</v>
      </c>
      <c r="M1992" s="14">
        <f>897*(1-P3/100)</f>
        <v>897</v>
      </c>
      <c r="N1992" s="15"/>
      <c r="O1992" s="13">
        <f t="shared" si="87"/>
        <v>0</v>
      </c>
      <c r="P1992" s="22">
        <f>0.598*N1992</f>
        <v>0</v>
      </c>
      <c r="Q1992" s="23">
        <f>0.00097*N1992</f>
        <v>0</v>
      </c>
      <c r="R1992" s="24"/>
      <c r="S1992" s="25" t="s">
        <v>8459</v>
      </c>
      <c r="T1992" s="25" t="s">
        <v>94</v>
      </c>
      <c r="U1992" s="5" t="s">
        <v>8447</v>
      </c>
      <c r="V1992" s="5" t="s">
        <v>8460</v>
      </c>
      <c r="W1992" s="5" t="s">
        <v>463</v>
      </c>
      <c r="X1992" s="5"/>
      <c r="Y1992" s="5"/>
      <c r="Z1992" s="5" t="str">
        <f>HYPERLINK("https://knigipp.ru/api/getInfo/image/05fac6aa-dfda-11ef-a273-00155d82e908")</f>
        <v>https://knigipp.ru/api/getInfo/image/05fac6aa-dfda-11ef-a273-00155d82e908</v>
      </c>
      <c r="AA1992" s="33">
        <v>384</v>
      </c>
      <c r="AB1992" s="5" t="s">
        <v>47</v>
      </c>
      <c r="AC1992" s="5" t="s">
        <v>86</v>
      </c>
      <c r="AD1992" s="5"/>
      <c r="AE1992" s="5" t="s">
        <v>49</v>
      </c>
      <c r="AF1992" s="5"/>
      <c r="AG1992" s="5"/>
      <c r="AH1992" s="5" t="s">
        <v>8461</v>
      </c>
    </row>
    <row r="1993" spans="2:35" ht="21" customHeight="1" outlineLevel="3" x14ac:dyDescent="0.2">
      <c r="B1993" s="43">
        <v>1554</v>
      </c>
      <c r="C1993" s="8" t="s">
        <v>8462</v>
      </c>
      <c r="D1993" s="8" t="s">
        <v>8463</v>
      </c>
      <c r="E1993" s="9" t="s">
        <v>8464</v>
      </c>
      <c r="F1993" s="16"/>
      <c r="G1993" s="17" t="s">
        <v>8465</v>
      </c>
      <c r="H1993" s="18">
        <v>10</v>
      </c>
      <c r="I1993" s="19" t="s">
        <v>41</v>
      </c>
      <c r="J1993" s="19"/>
      <c r="K1993" s="19"/>
      <c r="L1993" s="7">
        <v>2</v>
      </c>
      <c r="M1993" s="21">
        <f>447*(1-P3/100)</f>
        <v>447</v>
      </c>
      <c r="N1993" s="15"/>
      <c r="O1993" s="19">
        <f t="shared" si="87"/>
        <v>0</v>
      </c>
      <c r="P1993" s="26">
        <f>0.297*N1993</f>
        <v>0</v>
      </c>
      <c r="Q1993" s="31">
        <f>0.0005*N1993</f>
        <v>0</v>
      </c>
      <c r="R1993" s="28" t="s">
        <v>81</v>
      </c>
      <c r="S1993" s="29" t="s">
        <v>8466</v>
      </c>
      <c r="T1993" s="29" t="s">
        <v>43</v>
      </c>
      <c r="U1993" s="8" t="s">
        <v>8467</v>
      </c>
      <c r="V1993" s="8" t="s">
        <v>8468</v>
      </c>
      <c r="W1993" s="8" t="s">
        <v>2731</v>
      </c>
      <c r="X1993" s="8"/>
      <c r="Y1993" s="8"/>
      <c r="Z1993" s="8" t="str">
        <f>HYPERLINK("https://knigipp.ru/api/getInfo/image/10a534fd-e576-11f0-a28c-00155d82e908")</f>
        <v>https://knigipp.ru/api/getInfo/image/10a534fd-e576-11f0-a28c-00155d82e908</v>
      </c>
      <c r="AA1993" s="34">
        <v>208</v>
      </c>
      <c r="AB1993" s="8" t="s">
        <v>47</v>
      </c>
      <c r="AC1993" s="8" t="s">
        <v>86</v>
      </c>
      <c r="AD1993" s="8"/>
      <c r="AE1993" s="8" t="s">
        <v>49</v>
      </c>
      <c r="AF1993" s="8"/>
      <c r="AG1993" s="8"/>
      <c r="AH1993" s="8" t="s">
        <v>2282</v>
      </c>
      <c r="AI1993" s="55"/>
    </row>
    <row r="1994" spans="2:35" ht="22.95" customHeight="1" outlineLevel="2" x14ac:dyDescent="0.2">
      <c r="B1994" s="73" t="s">
        <v>8469</v>
      </c>
      <c r="C1994" s="73"/>
      <c r="D1994" s="73"/>
    </row>
    <row r="1995" spans="2:35" ht="21" customHeight="1" outlineLevel="3" x14ac:dyDescent="0.2">
      <c r="B1995" s="42">
        <v>1555</v>
      </c>
      <c r="C1995" s="5" t="s">
        <v>8470</v>
      </c>
      <c r="D1995" s="5" t="s">
        <v>8471</v>
      </c>
      <c r="E1995" s="6" t="s">
        <v>8472</v>
      </c>
      <c r="F1995" s="10"/>
      <c r="G1995" s="11" t="s">
        <v>8473</v>
      </c>
      <c r="H1995" s="12">
        <v>24</v>
      </c>
      <c r="I1995" s="13" t="s">
        <v>41</v>
      </c>
      <c r="J1995" s="13"/>
      <c r="K1995" s="13"/>
      <c r="L1995" s="4">
        <v>3</v>
      </c>
      <c r="M1995" s="14">
        <f>299*(1-P3/100)</f>
        <v>299</v>
      </c>
      <c r="N1995" s="15"/>
      <c r="O1995" s="13">
        <f>M1995*N1995</f>
        <v>0</v>
      </c>
      <c r="P1995" s="32">
        <f>0.25*N1995</f>
        <v>0</v>
      </c>
      <c r="Q1995" s="23">
        <f>0.00043*N1995</f>
        <v>0</v>
      </c>
      <c r="R1995" s="24"/>
      <c r="S1995" s="25" t="s">
        <v>8474</v>
      </c>
      <c r="T1995" s="25" t="s">
        <v>43</v>
      </c>
      <c r="U1995" s="5" t="s">
        <v>8475</v>
      </c>
      <c r="V1995" s="5" t="s">
        <v>8476</v>
      </c>
      <c r="W1995" s="5" t="s">
        <v>2612</v>
      </c>
      <c r="X1995" s="5"/>
      <c r="Y1995" s="5"/>
      <c r="Z1995" s="5" t="str">
        <f>HYPERLINK("https://knigipp.ru/api/getInfo/image/5e785c30-b83e-11ed-a230-00155d82e902")</f>
        <v>https://knigipp.ru/api/getInfo/image/5e785c30-b83e-11ed-a230-00155d82e902</v>
      </c>
      <c r="AA1995" s="33">
        <v>128</v>
      </c>
      <c r="AB1995" s="5" t="s">
        <v>47</v>
      </c>
      <c r="AC1995" s="5" t="s">
        <v>86</v>
      </c>
      <c r="AD1995" s="5"/>
      <c r="AE1995" s="5" t="s">
        <v>49</v>
      </c>
      <c r="AF1995" s="5"/>
      <c r="AG1995" s="5"/>
      <c r="AH1995" s="5" t="s">
        <v>8477</v>
      </c>
    </row>
    <row r="1996" spans="2:35" ht="21" customHeight="1" outlineLevel="3" x14ac:dyDescent="0.2">
      <c r="B1996" s="42">
        <v>1556</v>
      </c>
      <c r="C1996" s="5" t="s">
        <v>8478</v>
      </c>
      <c r="D1996" s="5" t="s">
        <v>8479</v>
      </c>
      <c r="E1996" s="6" t="s">
        <v>8480</v>
      </c>
      <c r="F1996" s="10"/>
      <c r="G1996" s="11" t="s">
        <v>8481</v>
      </c>
      <c r="H1996" s="12">
        <v>10</v>
      </c>
      <c r="I1996" s="13" t="s">
        <v>41</v>
      </c>
      <c r="J1996" s="13"/>
      <c r="K1996" s="13"/>
      <c r="L1996" s="4">
        <v>3</v>
      </c>
      <c r="M1996" s="14">
        <f>647*(1-P3/100)</f>
        <v>647</v>
      </c>
      <c r="N1996" s="15"/>
      <c r="O1996" s="13">
        <f>M1996*N1996</f>
        <v>0</v>
      </c>
      <c r="P1996" s="22">
        <f>0.481*N1996</f>
        <v>0</v>
      </c>
      <c r="Q1996" s="23">
        <f>0.00079*N1996</f>
        <v>0</v>
      </c>
      <c r="R1996" s="24"/>
      <c r="S1996" s="25" t="s">
        <v>8482</v>
      </c>
      <c r="T1996" s="25" t="s">
        <v>43</v>
      </c>
      <c r="U1996" s="5" t="s">
        <v>8483</v>
      </c>
      <c r="V1996" s="5" t="s">
        <v>8484</v>
      </c>
      <c r="W1996" s="5" t="s">
        <v>2612</v>
      </c>
      <c r="X1996" s="5"/>
      <c r="Y1996" s="5"/>
      <c r="Z1996" s="5" t="str">
        <f>HYPERLINK("https://knigipp.ru/api/getInfo/image/60b538ca-dfdc-11ef-a273-00155d82e908")</f>
        <v>https://knigipp.ru/api/getInfo/image/60b538ca-dfdc-11ef-a273-00155d82e908</v>
      </c>
      <c r="AA1996" s="33">
        <v>336</v>
      </c>
      <c r="AB1996" s="5" t="s">
        <v>47</v>
      </c>
      <c r="AC1996" s="5" t="s">
        <v>86</v>
      </c>
      <c r="AD1996" s="5"/>
      <c r="AE1996" s="5" t="s">
        <v>49</v>
      </c>
      <c r="AF1996" s="5"/>
      <c r="AG1996" s="5"/>
      <c r="AH1996" s="5" t="s">
        <v>8485</v>
      </c>
    </row>
    <row r="1997" spans="2:35" ht="21" customHeight="1" outlineLevel="3" x14ac:dyDescent="0.2">
      <c r="B1997" s="42">
        <v>1557</v>
      </c>
      <c r="C1997" s="5" t="s">
        <v>8486</v>
      </c>
      <c r="D1997" s="5" t="s">
        <v>8487</v>
      </c>
      <c r="E1997" s="6" t="s">
        <v>8488</v>
      </c>
      <c r="F1997" s="10"/>
      <c r="G1997" s="11" t="s">
        <v>8489</v>
      </c>
      <c r="H1997" s="12">
        <v>20</v>
      </c>
      <c r="I1997" s="13" t="s">
        <v>41</v>
      </c>
      <c r="J1997" s="13"/>
      <c r="K1997" s="13"/>
      <c r="L1997" s="4">
        <v>3</v>
      </c>
      <c r="M1997" s="14">
        <f>299*(1-P3/100)</f>
        <v>299</v>
      </c>
      <c r="N1997" s="15"/>
      <c r="O1997" s="13">
        <f>M1997*N1997</f>
        <v>0</v>
      </c>
      <c r="P1997" s="22">
        <f>0.231*N1997</f>
        <v>0</v>
      </c>
      <c r="Q1997" s="23">
        <f>0.00045*N1997</f>
        <v>0</v>
      </c>
      <c r="R1997" s="24"/>
      <c r="S1997" s="25" t="s">
        <v>8490</v>
      </c>
      <c r="T1997" s="25" t="s">
        <v>43</v>
      </c>
      <c r="U1997" s="5" t="s">
        <v>8491</v>
      </c>
      <c r="V1997" s="5" t="s">
        <v>8492</v>
      </c>
      <c r="W1997" s="5" t="s">
        <v>2612</v>
      </c>
      <c r="X1997" s="5"/>
      <c r="Y1997" s="5"/>
      <c r="Z1997" s="5" t="str">
        <f>HYPERLINK("https://knigipp.ru/api/getInfo/image/26c8fbcc-977b-11ef-a267-00155d82e908")</f>
        <v>https://knigipp.ru/api/getInfo/image/26c8fbcc-977b-11ef-a267-00155d82e908</v>
      </c>
      <c r="AA1997" s="33">
        <v>128</v>
      </c>
      <c r="AB1997" s="5" t="s">
        <v>47</v>
      </c>
      <c r="AC1997" s="5" t="s">
        <v>86</v>
      </c>
      <c r="AD1997" s="5"/>
      <c r="AE1997" s="5" t="s">
        <v>49</v>
      </c>
      <c r="AF1997" s="5"/>
      <c r="AG1997" s="5"/>
      <c r="AH1997" s="5" t="s">
        <v>8251</v>
      </c>
    </row>
    <row r="1998" spans="2:35" ht="21" customHeight="1" outlineLevel="3" x14ac:dyDescent="0.2">
      <c r="B1998" s="42">
        <v>1558</v>
      </c>
      <c r="C1998" s="5" t="s">
        <v>8493</v>
      </c>
      <c r="D1998" s="5" t="s">
        <v>8494</v>
      </c>
      <c r="E1998" s="6" t="s">
        <v>8495</v>
      </c>
      <c r="F1998" s="10"/>
      <c r="G1998" s="11" t="s">
        <v>8496</v>
      </c>
      <c r="H1998" s="12">
        <v>20</v>
      </c>
      <c r="I1998" s="13" t="s">
        <v>41</v>
      </c>
      <c r="J1998" s="13"/>
      <c r="K1998" s="13"/>
      <c r="L1998" s="4">
        <v>3</v>
      </c>
      <c r="M1998" s="14">
        <f>299*(1-P3/100)</f>
        <v>299</v>
      </c>
      <c r="N1998" s="15"/>
      <c r="O1998" s="13">
        <f>M1998*N1998</f>
        <v>0</v>
      </c>
      <c r="P1998" s="22">
        <f>0.231*N1998</f>
        <v>0</v>
      </c>
      <c r="Q1998" s="23">
        <f>0.00045*N1998</f>
        <v>0</v>
      </c>
      <c r="R1998" s="24"/>
      <c r="S1998" s="25" t="s">
        <v>8497</v>
      </c>
      <c r="T1998" s="25" t="s">
        <v>43</v>
      </c>
      <c r="U1998" s="5" t="s">
        <v>8498</v>
      </c>
      <c r="V1998" s="5" t="s">
        <v>8499</v>
      </c>
      <c r="W1998" s="5" t="s">
        <v>46</v>
      </c>
      <c r="X1998" s="5"/>
      <c r="Y1998" s="5"/>
      <c r="Z1998" s="5" t="str">
        <f>HYPERLINK("https://knigipp.ru/api/getInfo/image/fd4e89aa-977a-11ef-a267-00155d82e908")</f>
        <v>https://knigipp.ru/api/getInfo/image/fd4e89aa-977a-11ef-a267-00155d82e908</v>
      </c>
      <c r="AA1998" s="33">
        <v>96</v>
      </c>
      <c r="AB1998" s="5" t="s">
        <v>47</v>
      </c>
      <c r="AC1998" s="5" t="s">
        <v>86</v>
      </c>
      <c r="AD1998" s="5"/>
      <c r="AE1998" s="5" t="s">
        <v>49</v>
      </c>
      <c r="AF1998" s="5"/>
      <c r="AG1998" s="5"/>
      <c r="AH1998" s="5" t="s">
        <v>8485</v>
      </c>
    </row>
    <row r="1999" spans="2:35" ht="22.95" customHeight="1" outlineLevel="2" x14ac:dyDescent="0.2">
      <c r="B1999" s="73" t="s">
        <v>8500</v>
      </c>
      <c r="C1999" s="73"/>
      <c r="D1999" s="73"/>
    </row>
    <row r="2000" spans="2:35" ht="22.95" customHeight="1" outlineLevel="3" x14ac:dyDescent="0.2">
      <c r="B2000" s="74" t="s">
        <v>8501</v>
      </c>
      <c r="C2000" s="74"/>
      <c r="D2000" s="74"/>
    </row>
    <row r="2001" spans="2:35" ht="21" customHeight="1" outlineLevel="4" x14ac:dyDescent="0.2">
      <c r="B2001" s="42">
        <v>1559</v>
      </c>
      <c r="C2001" s="5" t="s">
        <v>8502</v>
      </c>
      <c r="D2001" s="5" t="s">
        <v>8503</v>
      </c>
      <c r="E2001" s="6" t="s">
        <v>8504</v>
      </c>
      <c r="F2001" s="10"/>
      <c r="G2001" s="11" t="s">
        <v>8505</v>
      </c>
      <c r="H2001" s="12">
        <v>10</v>
      </c>
      <c r="I2001" s="13" t="s">
        <v>41</v>
      </c>
      <c r="J2001" s="13"/>
      <c r="K2001" s="13"/>
      <c r="L2001" s="4">
        <v>1</v>
      </c>
      <c r="M2001" s="14">
        <f>537*(1-P3/100)</f>
        <v>537</v>
      </c>
      <c r="N2001" s="15"/>
      <c r="O2001" s="13">
        <f>M2001*N2001</f>
        <v>0</v>
      </c>
      <c r="P2001" s="22">
        <f>0.267*N2001</f>
        <v>0</v>
      </c>
      <c r="Q2001" s="23">
        <f>0.00041*N2001</f>
        <v>0</v>
      </c>
      <c r="R2001" s="24"/>
      <c r="S2001" s="25" t="s">
        <v>8506</v>
      </c>
      <c r="T2001" s="25" t="s">
        <v>94</v>
      </c>
      <c r="U2001" s="5"/>
      <c r="V2001" s="5" t="s">
        <v>8507</v>
      </c>
      <c r="W2001" s="5" t="s">
        <v>46</v>
      </c>
      <c r="X2001" s="5"/>
      <c r="Y2001" s="5"/>
      <c r="Z2001" s="5" t="str">
        <f>HYPERLINK("https://knigipp.ru/api/getInfo/image/e7fc94e9-dfd4-11ef-a273-00155d82e908")</f>
        <v>https://knigipp.ru/api/getInfo/image/e7fc94e9-dfd4-11ef-a273-00155d82e908</v>
      </c>
      <c r="AA2001" s="33">
        <v>64</v>
      </c>
      <c r="AB2001" s="5" t="s">
        <v>574</v>
      </c>
      <c r="AC2001" s="5" t="s">
        <v>86</v>
      </c>
      <c r="AD2001" s="5"/>
      <c r="AE2001" s="5" t="s">
        <v>49</v>
      </c>
      <c r="AF2001" s="5"/>
      <c r="AG2001" s="5"/>
      <c r="AH2001" s="5" t="s">
        <v>8508</v>
      </c>
    </row>
    <row r="2002" spans="2:35" ht="21" customHeight="1" outlineLevel="4" x14ac:dyDescent="0.2">
      <c r="B2002" s="42">
        <v>1560</v>
      </c>
      <c r="C2002" s="5" t="s">
        <v>8509</v>
      </c>
      <c r="D2002" s="5" t="s">
        <v>8510</v>
      </c>
      <c r="E2002" s="6" t="s">
        <v>8511</v>
      </c>
      <c r="F2002" s="10"/>
      <c r="G2002" s="11" t="s">
        <v>8505</v>
      </c>
      <c r="H2002" s="12">
        <v>10</v>
      </c>
      <c r="I2002" s="13" t="s">
        <v>41</v>
      </c>
      <c r="J2002" s="13"/>
      <c r="K2002" s="13"/>
      <c r="L2002" s="4">
        <v>1</v>
      </c>
      <c r="M2002" s="14">
        <f>537*(1-P3/100)</f>
        <v>537</v>
      </c>
      <c r="N2002" s="15"/>
      <c r="O2002" s="13">
        <f>M2002*N2002</f>
        <v>0</v>
      </c>
      <c r="P2002" s="22">
        <f>0.267*N2002</f>
        <v>0</v>
      </c>
      <c r="Q2002" s="23">
        <f>0.00038*N2002</f>
        <v>0</v>
      </c>
      <c r="R2002" s="24"/>
      <c r="S2002" s="25" t="s">
        <v>8512</v>
      </c>
      <c r="T2002" s="25" t="s">
        <v>94</v>
      </c>
      <c r="U2002" s="5"/>
      <c r="V2002" s="5" t="s">
        <v>8513</v>
      </c>
      <c r="W2002" s="5" t="s">
        <v>46</v>
      </c>
      <c r="X2002" s="5"/>
      <c r="Y2002" s="5"/>
      <c r="Z2002" s="5" t="str">
        <f>HYPERLINK("https://knigipp.ru/api/getInfo/image/b584e204-dfd4-11ef-a273-00155d82e908")</f>
        <v>https://knigipp.ru/api/getInfo/image/b584e204-dfd4-11ef-a273-00155d82e908</v>
      </c>
      <c r="AA2002" s="33">
        <v>64</v>
      </c>
      <c r="AB2002" s="5" t="s">
        <v>574</v>
      </c>
      <c r="AC2002" s="5" t="s">
        <v>86</v>
      </c>
      <c r="AD2002" s="5"/>
      <c r="AE2002" s="5" t="s">
        <v>49</v>
      </c>
      <c r="AF2002" s="5"/>
      <c r="AG2002" s="5"/>
      <c r="AH2002" s="5" t="s">
        <v>8508</v>
      </c>
    </row>
    <row r="2003" spans="2:35" ht="22.95" customHeight="1" outlineLevel="2" x14ac:dyDescent="0.2">
      <c r="B2003" s="73" t="s">
        <v>8514</v>
      </c>
      <c r="C2003" s="73"/>
      <c r="D2003" s="73"/>
    </row>
    <row r="2004" spans="2:35" ht="21" customHeight="1" outlineLevel="3" x14ac:dyDescent="0.2">
      <c r="B2004" s="42">
        <v>1561</v>
      </c>
      <c r="C2004" s="5" t="s">
        <v>8515</v>
      </c>
      <c r="D2004" s="5" t="s">
        <v>8516</v>
      </c>
      <c r="E2004" s="6" t="s">
        <v>8517</v>
      </c>
      <c r="F2004" s="10"/>
      <c r="G2004" s="11" t="s">
        <v>8518</v>
      </c>
      <c r="H2004" s="12">
        <v>10</v>
      </c>
      <c r="I2004" s="13" t="s">
        <v>41</v>
      </c>
      <c r="J2004" s="13"/>
      <c r="K2004" s="13"/>
      <c r="L2004" s="4">
        <v>1</v>
      </c>
      <c r="M2004" s="14">
        <f>599*(1-P3/100)</f>
        <v>599</v>
      </c>
      <c r="N2004" s="15"/>
      <c r="O2004" s="13">
        <f t="shared" ref="O2004:O2015" si="88">M2004*N2004</f>
        <v>0</v>
      </c>
      <c r="P2004" s="32">
        <f>0.36*N2004</f>
        <v>0</v>
      </c>
      <c r="Q2004" s="23">
        <f>0.00099*N2004</f>
        <v>0</v>
      </c>
      <c r="R2004" s="24"/>
      <c r="S2004" s="25" t="s">
        <v>8519</v>
      </c>
      <c r="T2004" s="25" t="s">
        <v>43</v>
      </c>
      <c r="U2004" s="5" t="s">
        <v>8520</v>
      </c>
      <c r="V2004" s="5" t="s">
        <v>8521</v>
      </c>
      <c r="W2004" s="5" t="s">
        <v>2612</v>
      </c>
      <c r="X2004" s="5"/>
      <c r="Y2004" s="5"/>
      <c r="Z2004" s="5" t="str">
        <f>HYPERLINK("https://knigipp.ru/api/getInfo/image/e7ffe4a0-9980-11e9-a227-ac1f6b442184")</f>
        <v>https://knigipp.ru/api/getInfo/image/e7ffe4a0-9980-11e9-a227-ac1f6b442184</v>
      </c>
      <c r="AA2004" s="33">
        <v>224</v>
      </c>
      <c r="AB2004" s="5"/>
      <c r="AC2004" s="5" t="s">
        <v>86</v>
      </c>
      <c r="AD2004" s="5"/>
      <c r="AE2004" s="5" t="s">
        <v>49</v>
      </c>
      <c r="AF2004" s="5"/>
      <c r="AG2004" s="5"/>
      <c r="AH2004" s="5" t="s">
        <v>8522</v>
      </c>
    </row>
    <row r="2005" spans="2:35" ht="21" customHeight="1" outlineLevel="3" x14ac:dyDescent="0.2">
      <c r="B2005" s="42">
        <v>1562</v>
      </c>
      <c r="C2005" s="5" t="s">
        <v>8523</v>
      </c>
      <c r="D2005" s="5" t="s">
        <v>8524</v>
      </c>
      <c r="E2005" s="6" t="s">
        <v>8525</v>
      </c>
      <c r="F2005" s="10"/>
      <c r="G2005" s="11" t="s">
        <v>8518</v>
      </c>
      <c r="H2005" s="12">
        <v>10</v>
      </c>
      <c r="I2005" s="13" t="s">
        <v>41</v>
      </c>
      <c r="J2005" s="13"/>
      <c r="K2005" s="13"/>
      <c r="L2005" s="4">
        <v>2</v>
      </c>
      <c r="M2005" s="14">
        <f>416.12*(1-P3/100)</f>
        <v>416.12</v>
      </c>
      <c r="N2005" s="15"/>
      <c r="O2005" s="13">
        <f t="shared" si="88"/>
        <v>0</v>
      </c>
      <c r="P2005" s="32">
        <f>0.32*N2005</f>
        <v>0</v>
      </c>
      <c r="Q2005" s="23">
        <f>0.00073*N2005</f>
        <v>0</v>
      </c>
      <c r="R2005" s="24"/>
      <c r="S2005" s="25" t="s">
        <v>8526</v>
      </c>
      <c r="T2005" s="25" t="s">
        <v>43</v>
      </c>
      <c r="U2005" s="5" t="s">
        <v>8520</v>
      </c>
      <c r="V2005" s="5" t="s">
        <v>8527</v>
      </c>
      <c r="W2005" s="5" t="s">
        <v>2612</v>
      </c>
      <c r="X2005" s="5"/>
      <c r="Y2005" s="5"/>
      <c r="Z2005" s="5" t="str">
        <f>HYPERLINK("https://knigipp.ru/api/getInfo/image/fb2aba2b-9980-11e9-a227-ac1f6b442184")</f>
        <v>https://knigipp.ru/api/getInfo/image/fb2aba2b-9980-11e9-a227-ac1f6b442184</v>
      </c>
      <c r="AA2005" s="33">
        <v>224</v>
      </c>
      <c r="AB2005" s="5"/>
      <c r="AC2005" s="5" t="s">
        <v>86</v>
      </c>
      <c r="AD2005" s="5"/>
      <c r="AE2005" s="5" t="s">
        <v>49</v>
      </c>
      <c r="AF2005" s="5"/>
      <c r="AG2005" s="5"/>
      <c r="AH2005" s="5" t="s">
        <v>8522</v>
      </c>
    </row>
    <row r="2006" spans="2:35" ht="21" customHeight="1" outlineLevel="3" x14ac:dyDescent="0.2">
      <c r="B2006" s="42">
        <v>1563</v>
      </c>
      <c r="C2006" s="5" t="s">
        <v>8528</v>
      </c>
      <c r="D2006" s="5" t="s">
        <v>8529</v>
      </c>
      <c r="E2006" s="6" t="s">
        <v>8530</v>
      </c>
      <c r="F2006" s="10"/>
      <c r="G2006" s="11" t="s">
        <v>8531</v>
      </c>
      <c r="H2006" s="12">
        <v>8</v>
      </c>
      <c r="I2006" s="13" t="s">
        <v>41</v>
      </c>
      <c r="J2006" s="13"/>
      <c r="K2006" s="13"/>
      <c r="L2006" s="4">
        <v>1</v>
      </c>
      <c r="M2006" s="14">
        <f>677*(1-P3/100)</f>
        <v>677</v>
      </c>
      <c r="N2006" s="15"/>
      <c r="O2006" s="13">
        <f t="shared" si="88"/>
        <v>0</v>
      </c>
      <c r="P2006" s="32">
        <f>0.43*N2006</f>
        <v>0</v>
      </c>
      <c r="Q2006" s="23">
        <f>0.00078*N2006</f>
        <v>0</v>
      </c>
      <c r="R2006" s="24"/>
      <c r="S2006" s="25" t="s">
        <v>8532</v>
      </c>
      <c r="T2006" s="25" t="s">
        <v>43</v>
      </c>
      <c r="U2006" s="5" t="s">
        <v>4057</v>
      </c>
      <c r="V2006" s="5" t="s">
        <v>8533</v>
      </c>
      <c r="W2006" s="5" t="s">
        <v>46</v>
      </c>
      <c r="X2006" s="5"/>
      <c r="Y2006" s="5"/>
      <c r="Z2006" s="5" t="str">
        <f>HYPERLINK("https://knigipp.ru/api/getInfo/image/1ce2e5e7-7317-11ea-a244-ac1f6b442184")</f>
        <v>https://knigipp.ru/api/getInfo/image/1ce2e5e7-7317-11ea-a244-ac1f6b442184</v>
      </c>
      <c r="AA2006" s="33">
        <v>128</v>
      </c>
      <c r="AB2006" s="5"/>
      <c r="AC2006" s="5" t="s">
        <v>86</v>
      </c>
      <c r="AD2006" s="5"/>
      <c r="AE2006" s="5" t="s">
        <v>49</v>
      </c>
      <c r="AF2006" s="5"/>
      <c r="AG2006" s="5"/>
      <c r="AH2006" s="5" t="s">
        <v>8534</v>
      </c>
    </row>
    <row r="2007" spans="2:35" ht="21" customHeight="1" outlineLevel="3" x14ac:dyDescent="0.2">
      <c r="B2007" s="42">
        <v>1564</v>
      </c>
      <c r="C2007" s="5" t="s">
        <v>8535</v>
      </c>
      <c r="D2007" s="5" t="s">
        <v>8536</v>
      </c>
      <c r="E2007" s="6" t="s">
        <v>8537</v>
      </c>
      <c r="F2007" s="10"/>
      <c r="G2007" s="11" t="s">
        <v>8538</v>
      </c>
      <c r="H2007" s="12">
        <v>20</v>
      </c>
      <c r="I2007" s="13" t="s">
        <v>261</v>
      </c>
      <c r="J2007" s="13"/>
      <c r="K2007" s="13"/>
      <c r="L2007" s="4">
        <v>3</v>
      </c>
      <c r="M2007" s="14">
        <f>225.24*(1-P3/100)</f>
        <v>225.24</v>
      </c>
      <c r="N2007" s="15"/>
      <c r="O2007" s="13">
        <f t="shared" si="88"/>
        <v>0</v>
      </c>
      <c r="P2007" s="36">
        <f>0.3*N2007</f>
        <v>0</v>
      </c>
      <c r="Q2007" s="23">
        <f>0.00038*N2007</f>
        <v>0</v>
      </c>
      <c r="R2007" s="24"/>
      <c r="S2007" s="25" t="s">
        <v>8539</v>
      </c>
      <c r="T2007" s="25" t="s">
        <v>43</v>
      </c>
      <c r="U2007" s="5" t="s">
        <v>630</v>
      </c>
      <c r="V2007" s="5"/>
      <c r="W2007" s="5" t="s">
        <v>46</v>
      </c>
      <c r="X2007" s="5"/>
      <c r="Y2007" s="5"/>
      <c r="Z2007" s="5" t="str">
        <f>HYPERLINK("https://knigipp.ru/api/getInfo/image/3bf1b09f-623d-11eb-a26d-ac1f6b442184")</f>
        <v>https://knigipp.ru/api/getInfo/image/3bf1b09f-623d-11eb-a26d-ac1f6b442184</v>
      </c>
      <c r="AA2007" s="33">
        <v>48</v>
      </c>
      <c r="AB2007" s="5"/>
      <c r="AC2007" s="5" t="s">
        <v>86</v>
      </c>
      <c r="AD2007" s="5"/>
      <c r="AE2007" s="5" t="s">
        <v>49</v>
      </c>
      <c r="AF2007" s="5"/>
      <c r="AG2007" s="5"/>
      <c r="AH2007" s="5" t="s">
        <v>575</v>
      </c>
    </row>
    <row r="2008" spans="2:35" ht="21" customHeight="1" outlineLevel="3" x14ac:dyDescent="0.2">
      <c r="B2008" s="42">
        <v>1565</v>
      </c>
      <c r="C2008" s="5" t="s">
        <v>8540</v>
      </c>
      <c r="D2008" s="5" t="s">
        <v>8541</v>
      </c>
      <c r="E2008" s="6" t="s">
        <v>8542</v>
      </c>
      <c r="F2008" s="10"/>
      <c r="G2008" s="11" t="s">
        <v>8543</v>
      </c>
      <c r="H2008" s="12">
        <v>10</v>
      </c>
      <c r="I2008" s="13" t="s">
        <v>371</v>
      </c>
      <c r="J2008" s="13"/>
      <c r="K2008" s="13"/>
      <c r="L2008" s="4">
        <v>1</v>
      </c>
      <c r="M2008" s="14">
        <f>779*(1-P3/100)</f>
        <v>779</v>
      </c>
      <c r="N2008" s="15"/>
      <c r="O2008" s="13">
        <f t="shared" si="88"/>
        <v>0</v>
      </c>
      <c r="P2008" s="22">
        <f>0.556*N2008</f>
        <v>0</v>
      </c>
      <c r="Q2008" s="23">
        <f>0.00073*N2008</f>
        <v>0</v>
      </c>
      <c r="R2008" s="24"/>
      <c r="S2008" s="25" t="s">
        <v>8544</v>
      </c>
      <c r="T2008" s="25" t="s">
        <v>43</v>
      </c>
      <c r="U2008" s="5" t="s">
        <v>8545</v>
      </c>
      <c r="V2008" s="5" t="s">
        <v>8546</v>
      </c>
      <c r="W2008" s="5" t="s">
        <v>46</v>
      </c>
      <c r="X2008" s="5"/>
      <c r="Y2008" s="5"/>
      <c r="Z2008" s="5" t="str">
        <f>HYPERLINK("https://knigipp.ru/api/getInfo/image/a0936912-6241-11eb-a26d-ac1f6b442184")</f>
        <v>https://knigipp.ru/api/getInfo/image/a0936912-6241-11eb-a26d-ac1f6b442184</v>
      </c>
      <c r="AA2008" s="33">
        <v>128</v>
      </c>
      <c r="AB2008" s="5"/>
      <c r="AC2008" s="5" t="s">
        <v>86</v>
      </c>
      <c r="AD2008" s="5"/>
      <c r="AE2008" s="5" t="s">
        <v>49</v>
      </c>
      <c r="AF2008" s="5"/>
      <c r="AG2008" s="5"/>
      <c r="AH2008" s="5" t="s">
        <v>8547</v>
      </c>
    </row>
    <row r="2009" spans="2:35" ht="21" customHeight="1" outlineLevel="3" x14ac:dyDescent="0.2">
      <c r="B2009" s="42">
        <v>1566</v>
      </c>
      <c r="C2009" s="5" t="s">
        <v>8540</v>
      </c>
      <c r="D2009" s="5" t="s">
        <v>8541</v>
      </c>
      <c r="E2009" s="6" t="s">
        <v>8542</v>
      </c>
      <c r="F2009" s="10"/>
      <c r="G2009" s="11" t="s">
        <v>8543</v>
      </c>
      <c r="H2009" s="12">
        <v>20</v>
      </c>
      <c r="I2009" s="13" t="s">
        <v>371</v>
      </c>
      <c r="J2009" s="13"/>
      <c r="K2009" s="13"/>
      <c r="L2009" s="4">
        <v>1</v>
      </c>
      <c r="M2009" s="14">
        <f>779*(1-P3/100)</f>
        <v>779</v>
      </c>
      <c r="N2009" s="15"/>
      <c r="O2009" s="13">
        <f t="shared" si="88"/>
        <v>0</v>
      </c>
      <c r="P2009" s="22">
        <f>0.556*N2009</f>
        <v>0</v>
      </c>
      <c r="Q2009" s="23">
        <f>0.00073*N2009</f>
        <v>0</v>
      </c>
      <c r="R2009" s="24"/>
      <c r="S2009" s="25" t="s">
        <v>8544</v>
      </c>
      <c r="T2009" s="25" t="s">
        <v>43</v>
      </c>
      <c r="U2009" s="5" t="s">
        <v>8545</v>
      </c>
      <c r="V2009" s="5" t="s">
        <v>8546</v>
      </c>
      <c r="W2009" s="5" t="s">
        <v>46</v>
      </c>
      <c r="X2009" s="5"/>
      <c r="Y2009" s="5"/>
      <c r="Z2009" s="5" t="str">
        <f>HYPERLINK("https://knigipp.ru/api/getInfo/image/a0936912-6241-11eb-a26d-ac1f6b442184")</f>
        <v>https://knigipp.ru/api/getInfo/image/a0936912-6241-11eb-a26d-ac1f6b442184</v>
      </c>
      <c r="AA2009" s="33">
        <v>128</v>
      </c>
      <c r="AB2009" s="5"/>
      <c r="AC2009" s="5" t="s">
        <v>86</v>
      </c>
      <c r="AD2009" s="5"/>
      <c r="AE2009" s="5" t="s">
        <v>49</v>
      </c>
      <c r="AF2009" s="5"/>
      <c r="AG2009" s="5"/>
      <c r="AH2009" s="5" t="s">
        <v>8547</v>
      </c>
    </row>
    <row r="2010" spans="2:35" ht="21" customHeight="1" outlineLevel="3" x14ac:dyDescent="0.2">
      <c r="B2010" s="42">
        <v>1567</v>
      </c>
      <c r="C2010" s="5" t="s">
        <v>8548</v>
      </c>
      <c r="D2010" s="5" t="s">
        <v>8549</v>
      </c>
      <c r="E2010" s="6" t="s">
        <v>8550</v>
      </c>
      <c r="F2010" s="10"/>
      <c r="G2010" s="11" t="s">
        <v>8551</v>
      </c>
      <c r="H2010" s="12">
        <v>8</v>
      </c>
      <c r="I2010" s="13" t="s">
        <v>41</v>
      </c>
      <c r="J2010" s="13"/>
      <c r="K2010" s="13"/>
      <c r="L2010" s="4">
        <v>1</v>
      </c>
      <c r="M2010" s="14">
        <f>947*(1-P3/100)</f>
        <v>947</v>
      </c>
      <c r="N2010" s="15"/>
      <c r="O2010" s="13">
        <f t="shared" si="88"/>
        <v>0</v>
      </c>
      <c r="P2010" s="22">
        <f>0.744*N2010</f>
        <v>0</v>
      </c>
      <c r="Q2010" s="23">
        <f>0.00116*N2010</f>
        <v>0</v>
      </c>
      <c r="R2010" s="24"/>
      <c r="S2010" s="25" t="s">
        <v>8552</v>
      </c>
      <c r="T2010" s="25" t="s">
        <v>43</v>
      </c>
      <c r="U2010" s="5" t="s">
        <v>4057</v>
      </c>
      <c r="V2010" s="5" t="s">
        <v>8553</v>
      </c>
      <c r="W2010" s="5" t="s">
        <v>46</v>
      </c>
      <c r="X2010" s="5"/>
      <c r="Y2010" s="5"/>
      <c r="Z2010" s="5" t="str">
        <f>HYPERLINK("https://knigipp.ru/api/getInfo/image/81a0dea9-d6d0-11ee-a25a-00155d82e908")</f>
        <v>https://knigipp.ru/api/getInfo/image/81a0dea9-d6d0-11ee-a25a-00155d82e908</v>
      </c>
      <c r="AA2010" s="33">
        <v>208</v>
      </c>
      <c r="AB2010" s="5" t="s">
        <v>574</v>
      </c>
      <c r="AC2010" s="5" t="s">
        <v>86</v>
      </c>
      <c r="AD2010" s="5"/>
      <c r="AE2010" s="5" t="s">
        <v>49</v>
      </c>
      <c r="AF2010" s="5"/>
      <c r="AG2010" s="5"/>
      <c r="AH2010" s="5" t="s">
        <v>8554</v>
      </c>
    </row>
    <row r="2011" spans="2:35" ht="21" customHeight="1" outlineLevel="3" x14ac:dyDescent="0.2">
      <c r="B2011" s="42">
        <v>1568</v>
      </c>
      <c r="C2011" s="5" t="s">
        <v>8555</v>
      </c>
      <c r="D2011" s="5" t="s">
        <v>8556</v>
      </c>
      <c r="E2011" s="6" t="s">
        <v>8557</v>
      </c>
      <c r="F2011" s="10"/>
      <c r="G2011" s="11" t="s">
        <v>8558</v>
      </c>
      <c r="H2011" s="12">
        <v>10</v>
      </c>
      <c r="I2011" s="13" t="s">
        <v>41</v>
      </c>
      <c r="J2011" s="13"/>
      <c r="K2011" s="13"/>
      <c r="L2011" s="4">
        <v>1</v>
      </c>
      <c r="M2011" s="14">
        <f>699*(1-P3/100)</f>
        <v>699</v>
      </c>
      <c r="N2011" s="15"/>
      <c r="O2011" s="13">
        <f t="shared" si="88"/>
        <v>0</v>
      </c>
      <c r="P2011" s="22">
        <f>0.534*N2011</f>
        <v>0</v>
      </c>
      <c r="Q2011" s="23">
        <f>0.00089*N2011</f>
        <v>0</v>
      </c>
      <c r="R2011" s="24"/>
      <c r="S2011" s="25" t="s">
        <v>8559</v>
      </c>
      <c r="T2011" s="25" t="s">
        <v>43</v>
      </c>
      <c r="U2011" s="5" t="s">
        <v>4057</v>
      </c>
      <c r="V2011" s="5" t="s">
        <v>8560</v>
      </c>
      <c r="W2011" s="5" t="s">
        <v>46</v>
      </c>
      <c r="X2011" s="5"/>
      <c r="Y2011" s="5"/>
      <c r="Z2011" s="5" t="str">
        <f>HYPERLINK("https://knigipp.ru/api/getInfo/image/bf708bd7-f393-11eb-a20d-ac1f6b442185")</f>
        <v>https://knigipp.ru/api/getInfo/image/bf708bd7-f393-11eb-a20d-ac1f6b442185</v>
      </c>
      <c r="AA2011" s="33">
        <v>224</v>
      </c>
      <c r="AB2011" s="5" t="s">
        <v>1768</v>
      </c>
      <c r="AC2011" s="5" t="s">
        <v>86</v>
      </c>
      <c r="AD2011" s="5"/>
      <c r="AE2011" s="5" t="s">
        <v>49</v>
      </c>
      <c r="AF2011" s="5"/>
      <c r="AG2011" s="5"/>
      <c r="AH2011" s="5" t="s">
        <v>8561</v>
      </c>
    </row>
    <row r="2012" spans="2:35" ht="21" customHeight="1" outlineLevel="3" x14ac:dyDescent="0.2">
      <c r="B2012" s="42">
        <v>1569</v>
      </c>
      <c r="C2012" s="5" t="s">
        <v>8562</v>
      </c>
      <c r="D2012" s="5" t="s">
        <v>8563</v>
      </c>
      <c r="E2012" s="6" t="s">
        <v>8564</v>
      </c>
      <c r="F2012" s="10"/>
      <c r="G2012" s="11" t="s">
        <v>8565</v>
      </c>
      <c r="H2012" s="12">
        <v>20</v>
      </c>
      <c r="I2012" s="13" t="s">
        <v>41</v>
      </c>
      <c r="J2012" s="13"/>
      <c r="K2012" s="13"/>
      <c r="L2012" s="4">
        <v>1</v>
      </c>
      <c r="M2012" s="14">
        <f>597*(1-P3/100)</f>
        <v>597</v>
      </c>
      <c r="N2012" s="15"/>
      <c r="O2012" s="13">
        <f t="shared" si="88"/>
        <v>0</v>
      </c>
      <c r="P2012" s="22">
        <f>0.208*N2012</f>
        <v>0</v>
      </c>
      <c r="Q2012" s="23">
        <f>0.00054*N2012</f>
        <v>0</v>
      </c>
      <c r="R2012" s="24"/>
      <c r="S2012" s="25" t="s">
        <v>8566</v>
      </c>
      <c r="T2012" s="25" t="s">
        <v>43</v>
      </c>
      <c r="U2012" s="5" t="s">
        <v>8567</v>
      </c>
      <c r="V2012" s="5" t="s">
        <v>8568</v>
      </c>
      <c r="W2012" s="5" t="s">
        <v>46</v>
      </c>
      <c r="X2012" s="5"/>
      <c r="Y2012" s="5"/>
      <c r="Z2012" s="5" t="str">
        <f>HYPERLINK("https://knigipp.ru/api/getInfo/image/3dbf43b7-4f36-11ef-a262-00155d82e908")</f>
        <v>https://knigipp.ru/api/getInfo/image/3dbf43b7-4f36-11ef-a262-00155d82e908</v>
      </c>
      <c r="AA2012" s="33">
        <v>160</v>
      </c>
      <c r="AB2012" s="5" t="s">
        <v>574</v>
      </c>
      <c r="AC2012" s="5" t="s">
        <v>86</v>
      </c>
      <c r="AD2012" s="5"/>
      <c r="AE2012" s="5" t="s">
        <v>49</v>
      </c>
      <c r="AF2012" s="5"/>
      <c r="AG2012" s="5"/>
      <c r="AH2012" s="5" t="s">
        <v>8569</v>
      </c>
    </row>
    <row r="2013" spans="2:35" ht="21" customHeight="1" outlineLevel="3" x14ac:dyDescent="0.2">
      <c r="B2013" s="43">
        <v>1570</v>
      </c>
      <c r="C2013" s="8" t="s">
        <v>8570</v>
      </c>
      <c r="D2013" s="8" t="s">
        <v>8571</v>
      </c>
      <c r="E2013" s="9" t="s">
        <v>8572</v>
      </c>
      <c r="F2013" s="16"/>
      <c r="G2013" s="17" t="s">
        <v>8573</v>
      </c>
      <c r="H2013" s="18">
        <v>8</v>
      </c>
      <c r="I2013" s="19" t="s">
        <v>41</v>
      </c>
      <c r="J2013" s="19"/>
      <c r="K2013" s="19"/>
      <c r="L2013" s="7">
        <v>1</v>
      </c>
      <c r="M2013" s="20">
        <f>1377*(1-P3/100)</f>
        <v>1377</v>
      </c>
      <c r="N2013" s="15"/>
      <c r="O2013" s="19">
        <f t="shared" si="88"/>
        <v>0</v>
      </c>
      <c r="P2013" s="26">
        <f>0.722*N2013</f>
        <v>0</v>
      </c>
      <c r="Q2013" s="31">
        <f>0.0007*N2013</f>
        <v>0</v>
      </c>
      <c r="R2013" s="28" t="s">
        <v>81</v>
      </c>
      <c r="S2013" s="29" t="s">
        <v>8574</v>
      </c>
      <c r="T2013" s="29" t="s">
        <v>43</v>
      </c>
      <c r="U2013" s="8" t="s">
        <v>8575</v>
      </c>
      <c r="V2013" s="8" t="s">
        <v>8576</v>
      </c>
      <c r="W2013" s="8" t="s">
        <v>2612</v>
      </c>
      <c r="X2013" s="8"/>
      <c r="Y2013" s="8"/>
      <c r="Z2013" s="8" t="str">
        <f>HYPERLINK("https://knigipp.ru/api/getInfo/image/322459ab-cb92-11f0-a28a-00155d82e908")</f>
        <v>https://knigipp.ru/api/getInfo/image/322459ab-cb92-11f0-a28a-00155d82e908</v>
      </c>
      <c r="AA2013" s="34">
        <v>160</v>
      </c>
      <c r="AB2013" s="8" t="s">
        <v>85</v>
      </c>
      <c r="AC2013" s="8" t="s">
        <v>86</v>
      </c>
      <c r="AD2013" s="8"/>
      <c r="AE2013" s="8" t="s">
        <v>49</v>
      </c>
      <c r="AF2013" s="8"/>
      <c r="AG2013" s="8"/>
      <c r="AH2013" s="8" t="s">
        <v>8577</v>
      </c>
      <c r="AI2013" s="55"/>
    </row>
    <row r="2014" spans="2:35" ht="21" customHeight="1" outlineLevel="3" x14ac:dyDescent="0.2">
      <c r="B2014" s="42">
        <v>1571</v>
      </c>
      <c r="C2014" s="5" t="s">
        <v>8578</v>
      </c>
      <c r="D2014" s="5" t="s">
        <v>8579</v>
      </c>
      <c r="E2014" s="6" t="s">
        <v>8580</v>
      </c>
      <c r="F2014" s="10"/>
      <c r="G2014" s="11" t="s">
        <v>8581</v>
      </c>
      <c r="H2014" s="12">
        <v>8</v>
      </c>
      <c r="I2014" s="13" t="s">
        <v>41</v>
      </c>
      <c r="J2014" s="13"/>
      <c r="K2014" s="13"/>
      <c r="L2014" s="4">
        <v>1</v>
      </c>
      <c r="M2014" s="14">
        <f>797*(1-P3/100)</f>
        <v>797</v>
      </c>
      <c r="N2014" s="15"/>
      <c r="O2014" s="13">
        <f t="shared" si="88"/>
        <v>0</v>
      </c>
      <c r="P2014" s="22">
        <f>0.454*N2014</f>
        <v>0</v>
      </c>
      <c r="Q2014" s="23">
        <f>0.00093*N2014</f>
        <v>0</v>
      </c>
      <c r="R2014" s="24"/>
      <c r="S2014" s="25" t="s">
        <v>8582</v>
      </c>
      <c r="T2014" s="25" t="s">
        <v>43</v>
      </c>
      <c r="U2014" s="5" t="s">
        <v>8583</v>
      </c>
      <c r="V2014" s="5"/>
      <c r="W2014" s="5" t="s">
        <v>46</v>
      </c>
      <c r="X2014" s="5"/>
      <c r="Y2014" s="5"/>
      <c r="Z2014" s="5" t="str">
        <f>HYPERLINK("https://knigipp.ru/api/getInfo/image/24ce7da2-e126-11e9-a234-ac1f6b442184")</f>
        <v>https://knigipp.ru/api/getInfo/image/24ce7da2-e126-11e9-a234-ac1f6b442184</v>
      </c>
      <c r="AA2014" s="33">
        <v>64</v>
      </c>
      <c r="AB2014" s="5"/>
      <c r="AC2014" s="5" t="s">
        <v>86</v>
      </c>
      <c r="AD2014" s="5"/>
      <c r="AE2014" s="5" t="s">
        <v>49</v>
      </c>
      <c r="AF2014" s="5"/>
      <c r="AG2014" s="5"/>
      <c r="AH2014" s="5" t="s">
        <v>8584</v>
      </c>
    </row>
    <row r="2015" spans="2:35" ht="21" customHeight="1" outlineLevel="3" x14ac:dyDescent="0.2">
      <c r="B2015" s="42">
        <v>1572</v>
      </c>
      <c r="C2015" s="5" t="s">
        <v>8585</v>
      </c>
      <c r="D2015" s="5" t="s">
        <v>8586</v>
      </c>
      <c r="E2015" s="6" t="s">
        <v>8587</v>
      </c>
      <c r="F2015" s="10"/>
      <c r="G2015" s="11" t="s">
        <v>8588</v>
      </c>
      <c r="H2015" s="12">
        <v>10</v>
      </c>
      <c r="I2015" s="13" t="s">
        <v>41</v>
      </c>
      <c r="J2015" s="13"/>
      <c r="K2015" s="13"/>
      <c r="L2015" s="4">
        <v>1</v>
      </c>
      <c r="M2015" s="14">
        <f>749*(1-P3/100)</f>
        <v>749</v>
      </c>
      <c r="N2015" s="15"/>
      <c r="O2015" s="13">
        <f t="shared" si="88"/>
        <v>0</v>
      </c>
      <c r="P2015" s="22">
        <f>0.491*N2015</f>
        <v>0</v>
      </c>
      <c r="Q2015" s="23">
        <f>0.00082*N2015</f>
        <v>0</v>
      </c>
      <c r="R2015" s="24"/>
      <c r="S2015" s="25" t="s">
        <v>8589</v>
      </c>
      <c r="T2015" s="25" t="s">
        <v>43</v>
      </c>
      <c r="U2015" s="5" t="s">
        <v>8590</v>
      </c>
      <c r="V2015" s="5" t="s">
        <v>8591</v>
      </c>
      <c r="W2015" s="5" t="s">
        <v>46</v>
      </c>
      <c r="X2015" s="5"/>
      <c r="Y2015" s="5"/>
      <c r="Z2015" s="5" t="str">
        <f>HYPERLINK("https://knigipp.ru/api/getInfo/image/c3a52ae2-1f4e-11ef-a25f-00155d82e908")</f>
        <v>https://knigipp.ru/api/getInfo/image/c3a52ae2-1f4e-11ef-a25f-00155d82e908</v>
      </c>
      <c r="AA2015" s="33">
        <v>128</v>
      </c>
      <c r="AB2015" s="5" t="s">
        <v>598</v>
      </c>
      <c r="AC2015" s="5" t="s">
        <v>86</v>
      </c>
      <c r="AD2015" s="5"/>
      <c r="AE2015" s="5" t="s">
        <v>49</v>
      </c>
      <c r="AF2015" s="5"/>
      <c r="AG2015" s="5"/>
      <c r="AH2015" s="5" t="s">
        <v>584</v>
      </c>
    </row>
    <row r="2016" spans="2:35" ht="22.95" customHeight="1" outlineLevel="2" x14ac:dyDescent="0.2">
      <c r="B2016" s="73" t="s">
        <v>8592</v>
      </c>
      <c r="C2016" s="73"/>
      <c r="D2016" s="73"/>
    </row>
    <row r="2017" spans="2:34" ht="22.95" customHeight="1" outlineLevel="3" x14ac:dyDescent="0.2">
      <c r="B2017" s="74" t="s">
        <v>8593</v>
      </c>
      <c r="C2017" s="74"/>
      <c r="D2017" s="74"/>
    </row>
    <row r="2018" spans="2:34" ht="21" customHeight="1" outlineLevel="4" x14ac:dyDescent="0.2">
      <c r="B2018" s="42">
        <v>1573</v>
      </c>
      <c r="C2018" s="5" t="s">
        <v>8594</v>
      </c>
      <c r="D2018" s="5" t="s">
        <v>8595</v>
      </c>
      <c r="E2018" s="6" t="s">
        <v>8596</v>
      </c>
      <c r="F2018" s="10"/>
      <c r="G2018" s="11" t="s">
        <v>8597</v>
      </c>
      <c r="H2018" s="12">
        <v>8</v>
      </c>
      <c r="I2018" s="13" t="s">
        <v>41</v>
      </c>
      <c r="J2018" s="13"/>
      <c r="K2018" s="13"/>
      <c r="L2018" s="4">
        <v>1</v>
      </c>
      <c r="M2018" s="14">
        <f>597*(1-P3/100)</f>
        <v>597</v>
      </c>
      <c r="N2018" s="15"/>
      <c r="O2018" s="13">
        <f>M2018*N2018</f>
        <v>0</v>
      </c>
      <c r="P2018" s="36">
        <f>0.4*N2018</f>
        <v>0</v>
      </c>
      <c r="Q2018" s="23">
        <f>0.00068*N2018</f>
        <v>0</v>
      </c>
      <c r="R2018" s="24"/>
      <c r="S2018" s="25" t="s">
        <v>8598</v>
      </c>
      <c r="T2018" s="25" t="s">
        <v>43</v>
      </c>
      <c r="U2018" s="5" t="s">
        <v>8599</v>
      </c>
      <c r="V2018" s="5" t="s">
        <v>8600</v>
      </c>
      <c r="W2018" s="5" t="s">
        <v>46</v>
      </c>
      <c r="X2018" s="5"/>
      <c r="Y2018" s="5"/>
      <c r="Z2018" s="5" t="str">
        <f>HYPERLINK("https://knigipp.ru/api/getInfo/image/f380128f-6b2f-11e9-a224-ac1f6b442184")</f>
        <v>https://knigipp.ru/api/getInfo/image/f380128f-6b2f-11e9-a224-ac1f6b442184</v>
      </c>
      <c r="AA2018" s="33">
        <v>96</v>
      </c>
      <c r="AB2018" s="5"/>
      <c r="AC2018" s="5" t="s">
        <v>86</v>
      </c>
      <c r="AD2018" s="5"/>
      <c r="AE2018" s="5" t="s">
        <v>49</v>
      </c>
      <c r="AF2018" s="5"/>
      <c r="AG2018" s="5"/>
      <c r="AH2018" s="5" t="s">
        <v>584</v>
      </c>
    </row>
    <row r="2019" spans="2:34" ht="21" customHeight="1" outlineLevel="4" x14ac:dyDescent="0.2">
      <c r="B2019" s="42">
        <v>1574</v>
      </c>
      <c r="C2019" s="5" t="s">
        <v>8601</v>
      </c>
      <c r="D2019" s="5" t="s">
        <v>8602</v>
      </c>
      <c r="E2019" s="6" t="s">
        <v>8603</v>
      </c>
      <c r="F2019" s="10"/>
      <c r="G2019" s="11" t="s">
        <v>8604</v>
      </c>
      <c r="H2019" s="12">
        <v>20</v>
      </c>
      <c r="I2019" s="13" t="s">
        <v>41</v>
      </c>
      <c r="J2019" s="13"/>
      <c r="K2019" s="13"/>
      <c r="L2019" s="4">
        <v>1</v>
      </c>
      <c r="M2019" s="14">
        <f>617*(1-P3/100)</f>
        <v>617</v>
      </c>
      <c r="N2019" s="15"/>
      <c r="O2019" s="13">
        <f>M2019*N2019</f>
        <v>0</v>
      </c>
      <c r="P2019" s="22">
        <f>0.281*N2019</f>
        <v>0</v>
      </c>
      <c r="Q2019" s="23">
        <f>0.00055*N2019</f>
        <v>0</v>
      </c>
      <c r="R2019" s="24"/>
      <c r="S2019" s="25" t="s">
        <v>8605</v>
      </c>
      <c r="T2019" s="25" t="s">
        <v>43</v>
      </c>
      <c r="U2019" s="5"/>
      <c r="V2019" s="5" t="s">
        <v>8606</v>
      </c>
      <c r="W2019" s="5" t="s">
        <v>46</v>
      </c>
      <c r="X2019" s="5"/>
      <c r="Y2019" s="5"/>
      <c r="Z2019" s="5" t="str">
        <f>HYPERLINK("https://knigipp.ru/api/getInfo/image/4ae1d9bd-0a58-11ec-a20e-ac1f6b442185")</f>
        <v>https://knigipp.ru/api/getInfo/image/4ae1d9bd-0a58-11ec-a20e-ac1f6b442185</v>
      </c>
      <c r="AA2019" s="33">
        <v>96</v>
      </c>
      <c r="AB2019" s="5" t="s">
        <v>47</v>
      </c>
      <c r="AC2019" s="5" t="s">
        <v>48</v>
      </c>
      <c r="AD2019" s="5"/>
      <c r="AE2019" s="5" t="s">
        <v>49</v>
      </c>
      <c r="AF2019" s="5"/>
      <c r="AG2019" s="5"/>
      <c r="AH2019" s="5" t="s">
        <v>8607</v>
      </c>
    </row>
    <row r="2020" spans="2:34" ht="21" customHeight="1" outlineLevel="4" x14ac:dyDescent="0.2">
      <c r="B2020" s="42">
        <v>1575</v>
      </c>
      <c r="C2020" s="5" t="s">
        <v>8608</v>
      </c>
      <c r="D2020" s="5" t="s">
        <v>8609</v>
      </c>
      <c r="E2020" s="6" t="s">
        <v>8610</v>
      </c>
      <c r="F2020" s="10"/>
      <c r="G2020" s="11" t="s">
        <v>8611</v>
      </c>
      <c r="H2020" s="12">
        <v>8</v>
      </c>
      <c r="I2020" s="13" t="s">
        <v>261</v>
      </c>
      <c r="J2020" s="13"/>
      <c r="K2020" s="13"/>
      <c r="L2020" s="4">
        <v>1</v>
      </c>
      <c r="M2020" s="14">
        <f>290*(1-P3/100)</f>
        <v>290</v>
      </c>
      <c r="N2020" s="15"/>
      <c r="O2020" s="13">
        <f>M2020*N2020</f>
        <v>0</v>
      </c>
      <c r="P2020" s="36">
        <f>0.3*N2020</f>
        <v>0</v>
      </c>
      <c r="Q2020" s="23">
        <f>0.00042*N2020</f>
        <v>0</v>
      </c>
      <c r="R2020" s="24"/>
      <c r="S2020" s="25" t="s">
        <v>8612</v>
      </c>
      <c r="T2020" s="25" t="s">
        <v>43</v>
      </c>
      <c r="U2020" s="5" t="s">
        <v>8613</v>
      </c>
      <c r="V2020" s="5"/>
      <c r="W2020" s="5" t="s">
        <v>46</v>
      </c>
      <c r="X2020" s="5"/>
      <c r="Y2020" s="5"/>
      <c r="Z2020" s="5" t="str">
        <f>HYPERLINK("https://knigipp.ru/api/getInfo/image/e87c9005-98d9-11e9-a227-ac1f6b442184")</f>
        <v>https://knigipp.ru/api/getInfo/image/e87c9005-98d9-11e9-a227-ac1f6b442184</v>
      </c>
      <c r="AA2020" s="33">
        <v>24</v>
      </c>
      <c r="AB2020" s="5"/>
      <c r="AC2020" s="5" t="s">
        <v>86</v>
      </c>
      <c r="AD2020" s="5"/>
      <c r="AE2020" s="5" t="s">
        <v>49</v>
      </c>
      <c r="AF2020" s="5"/>
      <c r="AG2020" s="5"/>
      <c r="AH2020" s="5" t="s">
        <v>8614</v>
      </c>
    </row>
    <row r="2021" spans="2:34" ht="21" customHeight="1" outlineLevel="4" x14ac:dyDescent="0.2">
      <c r="B2021" s="42">
        <v>1576</v>
      </c>
      <c r="C2021" s="5" t="s">
        <v>8615</v>
      </c>
      <c r="D2021" s="5" t="s">
        <v>8616</v>
      </c>
      <c r="E2021" s="6" t="s">
        <v>8617</v>
      </c>
      <c r="F2021" s="10"/>
      <c r="G2021" s="11" t="s">
        <v>8618</v>
      </c>
      <c r="H2021" s="12">
        <v>10</v>
      </c>
      <c r="I2021" s="13" t="s">
        <v>371</v>
      </c>
      <c r="J2021" s="13"/>
      <c r="K2021" s="13"/>
      <c r="L2021" s="4">
        <v>1</v>
      </c>
      <c r="M2021" s="14">
        <f>399*(1-P3/100)</f>
        <v>399</v>
      </c>
      <c r="N2021" s="15"/>
      <c r="O2021" s="13">
        <f>M2021*N2021</f>
        <v>0</v>
      </c>
      <c r="P2021" s="32">
        <f>0.23*N2021</f>
        <v>0</v>
      </c>
      <c r="Q2021" s="23">
        <f>0.00031*N2021</f>
        <v>0</v>
      </c>
      <c r="R2021" s="24"/>
      <c r="S2021" s="25" t="s">
        <v>8619</v>
      </c>
      <c r="T2021" s="25" t="s">
        <v>43</v>
      </c>
      <c r="U2021" s="5" t="s">
        <v>157</v>
      </c>
      <c r="V2021" s="5"/>
      <c r="W2021" s="5" t="s">
        <v>46</v>
      </c>
      <c r="X2021" s="5"/>
      <c r="Y2021" s="5"/>
      <c r="Z2021" s="5" t="str">
        <f>HYPERLINK("https://knigipp.ru/api/getInfo/image/31052672-cd8b-11e9-a234-ac1f6b442184")</f>
        <v>https://knigipp.ru/api/getInfo/image/31052672-cd8b-11e9-a234-ac1f6b442184</v>
      </c>
      <c r="AA2021" s="33">
        <v>32</v>
      </c>
      <c r="AB2021" s="5"/>
      <c r="AC2021" s="5" t="s">
        <v>86</v>
      </c>
      <c r="AD2021" s="5"/>
      <c r="AE2021" s="5" t="s">
        <v>49</v>
      </c>
      <c r="AF2021" s="5"/>
      <c r="AG2021" s="5"/>
      <c r="AH2021" s="5" t="s">
        <v>8620</v>
      </c>
    </row>
    <row r="2022" spans="2:34" ht="22.95" customHeight="1" outlineLevel="3" x14ac:dyDescent="0.2">
      <c r="B2022" s="74" t="s">
        <v>8621</v>
      </c>
      <c r="C2022" s="74"/>
      <c r="D2022" s="74"/>
    </row>
    <row r="2023" spans="2:34" ht="21" customHeight="1" outlineLevel="4" x14ac:dyDescent="0.2">
      <c r="B2023" s="42">
        <v>1577</v>
      </c>
      <c r="C2023" s="5" t="s">
        <v>8622</v>
      </c>
      <c r="D2023" s="5" t="s">
        <v>8623</v>
      </c>
      <c r="E2023" s="6" t="s">
        <v>8624</v>
      </c>
      <c r="F2023" s="10"/>
      <c r="G2023" s="11" t="s">
        <v>8625</v>
      </c>
      <c r="H2023" s="12">
        <v>20</v>
      </c>
      <c r="I2023" s="13" t="s">
        <v>41</v>
      </c>
      <c r="J2023" s="13"/>
      <c r="K2023" s="13"/>
      <c r="L2023" s="4">
        <v>2</v>
      </c>
      <c r="M2023" s="14">
        <f>307*(1-P3/100)</f>
        <v>307</v>
      </c>
      <c r="N2023" s="15"/>
      <c r="O2023" s="13">
        <f>M2023*N2023</f>
        <v>0</v>
      </c>
      <c r="P2023" s="22">
        <f>0.182*N2023</f>
        <v>0</v>
      </c>
      <c r="Q2023" s="23">
        <f>0.00042*N2023</f>
        <v>0</v>
      </c>
      <c r="R2023" s="24"/>
      <c r="S2023" s="25" t="s">
        <v>8626</v>
      </c>
      <c r="T2023" s="25" t="s">
        <v>94</v>
      </c>
      <c r="U2023" s="5" t="s">
        <v>8627</v>
      </c>
      <c r="V2023" s="5" t="s">
        <v>8628</v>
      </c>
      <c r="W2023" s="5" t="s">
        <v>46</v>
      </c>
      <c r="X2023" s="5"/>
      <c r="Y2023" s="5"/>
      <c r="Z2023" s="5" t="str">
        <f>HYPERLINK("https://knigipp.ru/api/getInfo/image/cdf13601-4d5b-11ee-a244-00155d82e902")</f>
        <v>https://knigipp.ru/api/getInfo/image/cdf13601-4d5b-11ee-a244-00155d82e902</v>
      </c>
      <c r="AA2023" s="33">
        <v>64</v>
      </c>
      <c r="AB2023" s="5" t="s">
        <v>47</v>
      </c>
      <c r="AC2023" s="5" t="s">
        <v>48</v>
      </c>
      <c r="AD2023" s="5"/>
      <c r="AE2023" s="5" t="s">
        <v>49</v>
      </c>
      <c r="AF2023" s="5"/>
      <c r="AG2023" s="5"/>
      <c r="AH2023" s="5" t="s">
        <v>8629</v>
      </c>
    </row>
    <row r="2024" spans="2:34" ht="21" customHeight="1" outlineLevel="4" x14ac:dyDescent="0.2">
      <c r="B2024" s="42">
        <v>1578</v>
      </c>
      <c r="C2024" s="5" t="s">
        <v>8630</v>
      </c>
      <c r="D2024" s="5" t="s">
        <v>8631</v>
      </c>
      <c r="E2024" s="6" t="s">
        <v>8632</v>
      </c>
      <c r="F2024" s="10"/>
      <c r="G2024" s="11" t="s">
        <v>8633</v>
      </c>
      <c r="H2024" s="12">
        <v>10</v>
      </c>
      <c r="I2024" s="13" t="s">
        <v>261</v>
      </c>
      <c r="J2024" s="13"/>
      <c r="K2024" s="13"/>
      <c r="L2024" s="4">
        <v>3</v>
      </c>
      <c r="M2024" s="14">
        <f>194*(1-P3/100)</f>
        <v>194</v>
      </c>
      <c r="N2024" s="15"/>
      <c r="O2024" s="13">
        <f>M2024*N2024</f>
        <v>0</v>
      </c>
      <c r="P2024" s="32">
        <f>0.23*N2024</f>
        <v>0</v>
      </c>
      <c r="Q2024" s="23">
        <f>0.00031*N2024</f>
        <v>0</v>
      </c>
      <c r="R2024" s="24"/>
      <c r="S2024" s="25" t="s">
        <v>8634</v>
      </c>
      <c r="T2024" s="25" t="s">
        <v>43</v>
      </c>
      <c r="U2024" s="5" t="s">
        <v>8635</v>
      </c>
      <c r="V2024" s="5"/>
      <c r="W2024" s="5" t="s">
        <v>46</v>
      </c>
      <c r="X2024" s="5"/>
      <c r="Y2024" s="5"/>
      <c r="Z2024" s="5" t="str">
        <f>HYPERLINK("https://knigipp.ru/api/getInfo/image/fa32e09e-cd8a-11e9-a234-ac1f6b442184")</f>
        <v>https://knigipp.ru/api/getInfo/image/fa32e09e-cd8a-11e9-a234-ac1f6b442184</v>
      </c>
      <c r="AA2024" s="33">
        <v>32</v>
      </c>
      <c r="AB2024" s="5"/>
      <c r="AC2024" s="5" t="s">
        <v>86</v>
      </c>
      <c r="AD2024" s="5"/>
      <c r="AE2024" s="5" t="s">
        <v>49</v>
      </c>
      <c r="AF2024" s="5"/>
      <c r="AG2024" s="5"/>
      <c r="AH2024" s="5" t="s">
        <v>8620</v>
      </c>
    </row>
    <row r="2025" spans="2:34" ht="22.95" customHeight="1" outlineLevel="3" x14ac:dyDescent="0.2">
      <c r="B2025" s="74" t="s">
        <v>8636</v>
      </c>
      <c r="C2025" s="74"/>
      <c r="D2025" s="74"/>
    </row>
    <row r="2026" spans="2:34" ht="21" customHeight="1" outlineLevel="4" x14ac:dyDescent="0.2">
      <c r="B2026" s="42">
        <v>1579</v>
      </c>
      <c r="C2026" s="5" t="s">
        <v>8637</v>
      </c>
      <c r="D2026" s="5" t="s">
        <v>8638</v>
      </c>
      <c r="E2026" s="6" t="s">
        <v>8639</v>
      </c>
      <c r="F2026" s="10"/>
      <c r="G2026" s="11" t="s">
        <v>8640</v>
      </c>
      <c r="H2026" s="12">
        <v>20</v>
      </c>
      <c r="I2026" s="13" t="s">
        <v>41</v>
      </c>
      <c r="J2026" s="13"/>
      <c r="K2026" s="13"/>
      <c r="L2026" s="4">
        <v>2</v>
      </c>
      <c r="M2026" s="14">
        <f>297*(1-P3/100)</f>
        <v>297</v>
      </c>
      <c r="N2026" s="15"/>
      <c r="O2026" s="13">
        <f>M2026*N2026</f>
        <v>0</v>
      </c>
      <c r="P2026" s="22">
        <f>0.183*N2026</f>
        <v>0</v>
      </c>
      <c r="Q2026" s="23">
        <f>0.00039*N2026</f>
        <v>0</v>
      </c>
      <c r="R2026" s="24"/>
      <c r="S2026" s="25" t="s">
        <v>8641</v>
      </c>
      <c r="T2026" s="25" t="s">
        <v>43</v>
      </c>
      <c r="U2026" s="5" t="s">
        <v>8642</v>
      </c>
      <c r="V2026" s="5" t="s">
        <v>8643</v>
      </c>
      <c r="W2026" s="5" t="s">
        <v>46</v>
      </c>
      <c r="X2026" s="5" t="s">
        <v>8644</v>
      </c>
      <c r="Y2026" s="5"/>
      <c r="Z2026" s="5" t="str">
        <f>HYPERLINK("https://knigipp.ru/api/getInfo/image/acbe421a-2e33-11e6-b4ab-5cf3fc4a2490")</f>
        <v>https://knigipp.ru/api/getInfo/image/acbe421a-2e33-11e6-b4ab-5cf3fc4a2490</v>
      </c>
      <c r="AA2026" s="33">
        <v>48</v>
      </c>
      <c r="AB2026" s="5"/>
      <c r="AC2026" s="5" t="s">
        <v>86</v>
      </c>
      <c r="AD2026" s="5"/>
      <c r="AE2026" s="5" t="s">
        <v>49</v>
      </c>
      <c r="AF2026" s="5"/>
      <c r="AG2026" s="5" t="s">
        <v>8645</v>
      </c>
      <c r="AH2026" s="5" t="s">
        <v>8646</v>
      </c>
    </row>
    <row r="2027" spans="2:34" ht="21" customHeight="1" outlineLevel="4" x14ac:dyDescent="0.2">
      <c r="B2027" s="42">
        <v>1580</v>
      </c>
      <c r="C2027" s="5" t="s">
        <v>8647</v>
      </c>
      <c r="D2027" s="5" t="s">
        <v>8648</v>
      </c>
      <c r="E2027" s="6" t="s">
        <v>8649</v>
      </c>
      <c r="F2027" s="10"/>
      <c r="G2027" s="11" t="s">
        <v>8650</v>
      </c>
      <c r="H2027" s="12">
        <v>20</v>
      </c>
      <c r="I2027" s="13" t="s">
        <v>41</v>
      </c>
      <c r="J2027" s="13"/>
      <c r="K2027" s="13"/>
      <c r="L2027" s="4">
        <v>2</v>
      </c>
      <c r="M2027" s="14">
        <f>287*(1-P3/100)</f>
        <v>287</v>
      </c>
      <c r="N2027" s="15"/>
      <c r="O2027" s="13">
        <f>M2027*N2027</f>
        <v>0</v>
      </c>
      <c r="P2027" s="13">
        <v>0</v>
      </c>
      <c r="Q2027" s="13">
        <v>0</v>
      </c>
      <c r="R2027" s="24"/>
      <c r="S2027" s="25" t="s">
        <v>8651</v>
      </c>
      <c r="T2027" s="25" t="s">
        <v>43</v>
      </c>
      <c r="U2027" s="5" t="s">
        <v>8652</v>
      </c>
      <c r="V2027" s="5" t="s">
        <v>8653</v>
      </c>
      <c r="W2027" s="5" t="s">
        <v>46</v>
      </c>
      <c r="X2027" s="5"/>
      <c r="Y2027" s="5"/>
      <c r="Z2027" s="5" t="str">
        <f>HYPERLINK("https://knigipp.ru/api/getInfo/image/98fa582a-e5e8-11ee-a25a-00155d82e908")</f>
        <v>https://knigipp.ru/api/getInfo/image/98fa582a-e5e8-11ee-a25a-00155d82e908</v>
      </c>
      <c r="AA2027" s="33">
        <v>48</v>
      </c>
      <c r="AB2027" s="5"/>
      <c r="AC2027" s="5" t="s">
        <v>48</v>
      </c>
      <c r="AD2027" s="5"/>
      <c r="AE2027" s="5" t="s">
        <v>49</v>
      </c>
      <c r="AF2027" s="5"/>
      <c r="AG2027" s="5"/>
      <c r="AH2027" s="5" t="s">
        <v>8654</v>
      </c>
    </row>
    <row r="2028" spans="2:34" ht="21" customHeight="1" outlineLevel="4" x14ac:dyDescent="0.2">
      <c r="B2028" s="42">
        <v>1581</v>
      </c>
      <c r="C2028" s="5" t="s">
        <v>8655</v>
      </c>
      <c r="D2028" s="5" t="s">
        <v>8656</v>
      </c>
      <c r="E2028" s="6" t="s">
        <v>8657</v>
      </c>
      <c r="F2028" s="10"/>
      <c r="G2028" s="11" t="s">
        <v>8640</v>
      </c>
      <c r="H2028" s="12">
        <v>12</v>
      </c>
      <c r="I2028" s="13" t="s">
        <v>41</v>
      </c>
      <c r="J2028" s="13"/>
      <c r="K2028" s="13"/>
      <c r="L2028" s="4">
        <v>2</v>
      </c>
      <c r="M2028" s="14">
        <f>309*(1-P3/100)</f>
        <v>309</v>
      </c>
      <c r="N2028" s="15"/>
      <c r="O2028" s="13">
        <f>M2028*N2028</f>
        <v>0</v>
      </c>
      <c r="P2028" s="22">
        <f>0.417*N2028</f>
        <v>0</v>
      </c>
      <c r="Q2028" s="23">
        <f>0.00041*N2028</f>
        <v>0</v>
      </c>
      <c r="R2028" s="24"/>
      <c r="S2028" s="25" t="s">
        <v>8658</v>
      </c>
      <c r="T2028" s="25" t="s">
        <v>43</v>
      </c>
      <c r="U2028" s="5"/>
      <c r="V2028" s="5"/>
      <c r="W2028" s="5" t="s">
        <v>46</v>
      </c>
      <c r="X2028" s="5" t="s">
        <v>2560</v>
      </c>
      <c r="Y2028" s="5"/>
      <c r="Z2028" s="5" t="str">
        <f>HYPERLINK("https://knigipp.ru/api/getInfo/image/cdb4c16e-99af-11e5-b0ae-5cf3fc4a2490")</f>
        <v>https://knigipp.ru/api/getInfo/image/cdb4c16e-99af-11e5-b0ae-5cf3fc4a2490</v>
      </c>
      <c r="AA2028" s="33">
        <v>48</v>
      </c>
      <c r="AB2028" s="5"/>
      <c r="AC2028" s="5" t="s">
        <v>86</v>
      </c>
      <c r="AD2028" s="5"/>
      <c r="AE2028" s="5" t="s">
        <v>49</v>
      </c>
      <c r="AF2028" s="5"/>
      <c r="AG2028" s="5" t="s">
        <v>8645</v>
      </c>
      <c r="AH2028" s="5" t="s">
        <v>8659</v>
      </c>
    </row>
    <row r="2029" spans="2:34" ht="21" customHeight="1" outlineLevel="4" x14ac:dyDescent="0.2">
      <c r="B2029" s="42">
        <v>1582</v>
      </c>
      <c r="C2029" s="5" t="s">
        <v>8660</v>
      </c>
      <c r="D2029" s="5" t="s">
        <v>8661</v>
      </c>
      <c r="E2029" s="6" t="s">
        <v>8662</v>
      </c>
      <c r="F2029" s="10"/>
      <c r="G2029" s="11" t="s">
        <v>8663</v>
      </c>
      <c r="H2029" s="12">
        <v>20</v>
      </c>
      <c r="I2029" s="13" t="s">
        <v>41</v>
      </c>
      <c r="J2029" s="13"/>
      <c r="K2029" s="13"/>
      <c r="L2029" s="4">
        <v>2</v>
      </c>
      <c r="M2029" s="14">
        <f>257*(1-P3/100)</f>
        <v>257</v>
      </c>
      <c r="N2029" s="15"/>
      <c r="O2029" s="13">
        <f>M2029*N2029</f>
        <v>0</v>
      </c>
      <c r="P2029" s="22">
        <f>0.167*N2029</f>
        <v>0</v>
      </c>
      <c r="Q2029" s="23">
        <f>0.00073*N2029</f>
        <v>0</v>
      </c>
      <c r="R2029" s="24"/>
      <c r="S2029" s="25" t="s">
        <v>8664</v>
      </c>
      <c r="T2029" s="25" t="s">
        <v>43</v>
      </c>
      <c r="U2029" s="5"/>
      <c r="V2029" s="5" t="s">
        <v>8665</v>
      </c>
      <c r="W2029" s="5" t="s">
        <v>46</v>
      </c>
      <c r="X2029" s="5"/>
      <c r="Y2029" s="5"/>
      <c r="Z2029" s="5" t="str">
        <f>HYPERLINK("https://knigipp.ru/api/getInfo/image/e70e25ed-400c-11e9-a221-ac1f6b442184")</f>
        <v>https://knigipp.ru/api/getInfo/image/e70e25ed-400c-11e9-a221-ac1f6b442184</v>
      </c>
      <c r="AA2029" s="33">
        <v>48</v>
      </c>
      <c r="AB2029" s="5"/>
      <c r="AC2029" s="5" t="s">
        <v>48</v>
      </c>
      <c r="AD2029" s="5"/>
      <c r="AE2029" s="5" t="s">
        <v>49</v>
      </c>
      <c r="AF2029" s="5"/>
      <c r="AG2029" s="5"/>
      <c r="AH2029" s="5" t="s">
        <v>8666</v>
      </c>
    </row>
    <row r="2030" spans="2:34" ht="22.95" customHeight="1" outlineLevel="3" x14ac:dyDescent="0.2">
      <c r="B2030" s="74" t="s">
        <v>8667</v>
      </c>
      <c r="C2030" s="74"/>
      <c r="D2030" s="74"/>
    </row>
    <row r="2031" spans="2:34" ht="21" customHeight="1" outlineLevel="4" x14ac:dyDescent="0.2">
      <c r="B2031" s="42">
        <v>1583</v>
      </c>
      <c r="C2031" s="5" t="s">
        <v>8668</v>
      </c>
      <c r="D2031" s="5" t="s">
        <v>8669</v>
      </c>
      <c r="E2031" s="6" t="s">
        <v>8670</v>
      </c>
      <c r="F2031" s="10"/>
      <c r="G2031" s="11" t="s">
        <v>8671</v>
      </c>
      <c r="H2031" s="12">
        <v>8</v>
      </c>
      <c r="I2031" s="13" t="s">
        <v>41</v>
      </c>
      <c r="J2031" s="13"/>
      <c r="K2031" s="13"/>
      <c r="L2031" s="4">
        <v>1</v>
      </c>
      <c r="M2031" s="14">
        <f>547*(1-P3/100)</f>
        <v>547</v>
      </c>
      <c r="N2031" s="15"/>
      <c r="O2031" s="13">
        <f>M2031*N2031</f>
        <v>0</v>
      </c>
      <c r="P2031" s="22">
        <f>0.459*N2031</f>
        <v>0</v>
      </c>
      <c r="Q2031" s="23">
        <f>0.00093*N2031</f>
        <v>0</v>
      </c>
      <c r="R2031" s="24"/>
      <c r="S2031" s="25" t="s">
        <v>8672</v>
      </c>
      <c r="T2031" s="25" t="s">
        <v>43</v>
      </c>
      <c r="U2031" s="5" t="s">
        <v>8673</v>
      </c>
      <c r="V2031" s="5" t="s">
        <v>8674</v>
      </c>
      <c r="W2031" s="5" t="s">
        <v>46</v>
      </c>
      <c r="X2031" s="5"/>
      <c r="Y2031" s="5"/>
      <c r="Z2031" s="5" t="str">
        <f>HYPERLINK("https://knigipp.ru/api/getInfo/image/6933af36-b9cc-11e9-a22e-ac1f6b442184")</f>
        <v>https://knigipp.ru/api/getInfo/image/6933af36-b9cc-11e9-a22e-ac1f6b442184</v>
      </c>
      <c r="AA2031" s="33">
        <v>128</v>
      </c>
      <c r="AB2031" s="5"/>
      <c r="AC2031" s="5" t="s">
        <v>86</v>
      </c>
      <c r="AD2031" s="5"/>
      <c r="AE2031" s="5" t="s">
        <v>49</v>
      </c>
      <c r="AF2031" s="5"/>
      <c r="AG2031" s="5"/>
      <c r="AH2031" s="5" t="s">
        <v>8675</v>
      </c>
    </row>
    <row r="2032" spans="2:34" ht="21" customHeight="1" outlineLevel="4" x14ac:dyDescent="0.2">
      <c r="B2032" s="42">
        <v>1584</v>
      </c>
      <c r="C2032" s="5" t="s">
        <v>8676</v>
      </c>
      <c r="D2032" s="5" t="s">
        <v>8677</v>
      </c>
      <c r="E2032" s="6" t="s">
        <v>8678</v>
      </c>
      <c r="F2032" s="10"/>
      <c r="G2032" s="11" t="s">
        <v>8679</v>
      </c>
      <c r="H2032" s="12">
        <v>8</v>
      </c>
      <c r="I2032" s="13" t="s">
        <v>371</v>
      </c>
      <c r="J2032" s="13"/>
      <c r="K2032" s="13"/>
      <c r="L2032" s="4">
        <v>1</v>
      </c>
      <c r="M2032" s="14">
        <f>547*(1-P3/100)</f>
        <v>547</v>
      </c>
      <c r="N2032" s="15"/>
      <c r="O2032" s="13">
        <f>M2032*N2032</f>
        <v>0</v>
      </c>
      <c r="P2032" s="22">
        <f>0.371*N2032</f>
        <v>0</v>
      </c>
      <c r="Q2032" s="23">
        <f>0.00074*N2032</f>
        <v>0</v>
      </c>
      <c r="R2032" s="24"/>
      <c r="S2032" s="25" t="s">
        <v>8680</v>
      </c>
      <c r="T2032" s="25" t="s">
        <v>43</v>
      </c>
      <c r="U2032" s="5" t="s">
        <v>8681</v>
      </c>
      <c r="V2032" s="5" t="s">
        <v>8682</v>
      </c>
      <c r="W2032" s="5" t="s">
        <v>46</v>
      </c>
      <c r="X2032" s="5"/>
      <c r="Y2032" s="5"/>
      <c r="Z2032" s="5" t="str">
        <f>HYPERLINK("https://knigipp.ru/api/getInfo/image/4dff4ddb-bf1b-11ed-a230-00155d82e902")</f>
        <v>https://knigipp.ru/api/getInfo/image/4dff4ddb-bf1b-11ed-a230-00155d82e902</v>
      </c>
      <c r="AA2032" s="33">
        <v>96</v>
      </c>
      <c r="AB2032" s="5" t="s">
        <v>574</v>
      </c>
      <c r="AC2032" s="5" t="s">
        <v>86</v>
      </c>
      <c r="AD2032" s="5"/>
      <c r="AE2032" s="5" t="s">
        <v>49</v>
      </c>
      <c r="AF2032" s="5"/>
      <c r="AG2032" s="5"/>
      <c r="AH2032" s="5" t="s">
        <v>566</v>
      </c>
    </row>
    <row r="2033" spans="2:35" ht="21" customHeight="1" outlineLevel="4" x14ac:dyDescent="0.2">
      <c r="B2033" s="42">
        <v>1585</v>
      </c>
      <c r="C2033" s="5" t="s">
        <v>8683</v>
      </c>
      <c r="D2033" s="5" t="s">
        <v>8684</v>
      </c>
      <c r="E2033" s="6" t="s">
        <v>8685</v>
      </c>
      <c r="F2033" s="10"/>
      <c r="G2033" s="11" t="s">
        <v>8686</v>
      </c>
      <c r="H2033" s="12">
        <v>8</v>
      </c>
      <c r="I2033" s="13" t="s">
        <v>41</v>
      </c>
      <c r="J2033" s="13"/>
      <c r="K2033" s="13"/>
      <c r="L2033" s="4">
        <v>1</v>
      </c>
      <c r="M2033" s="14">
        <f>547*(1-P3/100)</f>
        <v>547</v>
      </c>
      <c r="N2033" s="15"/>
      <c r="O2033" s="13">
        <f>M2033*N2033</f>
        <v>0</v>
      </c>
      <c r="P2033" s="22">
        <f>0.461*N2033</f>
        <v>0</v>
      </c>
      <c r="Q2033" s="23">
        <f>0.00086*N2033</f>
        <v>0</v>
      </c>
      <c r="R2033" s="24"/>
      <c r="S2033" s="25" t="s">
        <v>8687</v>
      </c>
      <c r="T2033" s="25" t="s">
        <v>43</v>
      </c>
      <c r="U2033" s="5" t="s">
        <v>8681</v>
      </c>
      <c r="V2033" s="5" t="s">
        <v>8688</v>
      </c>
      <c r="W2033" s="5" t="s">
        <v>46</v>
      </c>
      <c r="X2033" s="5"/>
      <c r="Y2033" s="5"/>
      <c r="Z2033" s="5" t="str">
        <f>HYPERLINK("https://knigipp.ru/api/getInfo/image/af24bf11-bf1b-11ed-a230-00155d82e902")</f>
        <v>https://knigipp.ru/api/getInfo/image/af24bf11-bf1b-11ed-a230-00155d82e902</v>
      </c>
      <c r="AA2033" s="33">
        <v>96</v>
      </c>
      <c r="AB2033" s="5" t="s">
        <v>574</v>
      </c>
      <c r="AC2033" s="5" t="s">
        <v>86</v>
      </c>
      <c r="AD2033" s="5"/>
      <c r="AE2033" s="5" t="s">
        <v>49</v>
      </c>
      <c r="AF2033" s="5"/>
      <c r="AG2033" s="5"/>
      <c r="AH2033" s="5" t="s">
        <v>566</v>
      </c>
    </row>
    <row r="2034" spans="2:35" ht="21" customHeight="1" outlineLevel="4" x14ac:dyDescent="0.2">
      <c r="B2034" s="42">
        <v>1586</v>
      </c>
      <c r="C2034" s="5" t="s">
        <v>8689</v>
      </c>
      <c r="D2034" s="5" t="s">
        <v>8690</v>
      </c>
      <c r="E2034" s="6" t="s">
        <v>8691</v>
      </c>
      <c r="F2034" s="10"/>
      <c r="G2034" s="11" t="s">
        <v>8692</v>
      </c>
      <c r="H2034" s="12">
        <v>8</v>
      </c>
      <c r="I2034" s="13" t="s">
        <v>41</v>
      </c>
      <c r="J2034" s="13"/>
      <c r="K2034" s="13"/>
      <c r="L2034" s="4">
        <v>1</v>
      </c>
      <c r="M2034" s="14">
        <f>547*(1-P3/100)</f>
        <v>547</v>
      </c>
      <c r="N2034" s="15"/>
      <c r="O2034" s="13">
        <f>M2034*N2034</f>
        <v>0</v>
      </c>
      <c r="P2034" s="22">
        <f>0.371*N2034</f>
        <v>0</v>
      </c>
      <c r="Q2034" s="23">
        <f>0.00074*N2034</f>
        <v>0</v>
      </c>
      <c r="R2034" s="24"/>
      <c r="S2034" s="25" t="s">
        <v>8693</v>
      </c>
      <c r="T2034" s="25" t="s">
        <v>43</v>
      </c>
      <c r="U2034" s="5" t="s">
        <v>8694</v>
      </c>
      <c r="V2034" s="5" t="s">
        <v>8695</v>
      </c>
      <c r="W2034" s="5" t="s">
        <v>46</v>
      </c>
      <c r="X2034" s="5"/>
      <c r="Y2034" s="5"/>
      <c r="Z2034" s="5" t="str">
        <f>HYPERLINK("https://knigipp.ru/api/getInfo/image/01aec38c-bf1d-11ed-a230-00155d82e902")</f>
        <v>https://knigipp.ru/api/getInfo/image/01aec38c-bf1d-11ed-a230-00155d82e902</v>
      </c>
      <c r="AA2034" s="33">
        <v>96</v>
      </c>
      <c r="AB2034" s="5" t="s">
        <v>574</v>
      </c>
      <c r="AC2034" s="5" t="s">
        <v>86</v>
      </c>
      <c r="AD2034" s="5"/>
      <c r="AE2034" s="5" t="s">
        <v>49</v>
      </c>
      <c r="AF2034" s="5"/>
      <c r="AG2034" s="5"/>
      <c r="AH2034" s="5" t="s">
        <v>566</v>
      </c>
    </row>
    <row r="2035" spans="2:35" ht="22.95" customHeight="1" outlineLevel="3" x14ac:dyDescent="0.2">
      <c r="B2035" s="74" t="s">
        <v>8696</v>
      </c>
      <c r="C2035" s="74"/>
      <c r="D2035" s="74"/>
    </row>
    <row r="2036" spans="2:35" ht="21" customHeight="1" outlineLevel="4" x14ac:dyDescent="0.2">
      <c r="B2036" s="42">
        <v>1587</v>
      </c>
      <c r="C2036" s="5" t="s">
        <v>8697</v>
      </c>
      <c r="D2036" s="5" t="s">
        <v>8698</v>
      </c>
      <c r="E2036" s="6" t="s">
        <v>8699</v>
      </c>
      <c r="F2036" s="10"/>
      <c r="G2036" s="11" t="s">
        <v>8700</v>
      </c>
      <c r="H2036" s="12">
        <v>10</v>
      </c>
      <c r="I2036" s="13" t="s">
        <v>261</v>
      </c>
      <c r="J2036" s="13"/>
      <c r="K2036" s="13"/>
      <c r="L2036" s="4">
        <v>1</v>
      </c>
      <c r="M2036" s="14">
        <f>655*(1-P3/100)</f>
        <v>655</v>
      </c>
      <c r="N2036" s="15"/>
      <c r="O2036" s="13">
        <f>M2036*N2036</f>
        <v>0</v>
      </c>
      <c r="P2036" s="13">
        <v>0</v>
      </c>
      <c r="Q2036" s="13">
        <v>0</v>
      </c>
      <c r="R2036" s="24"/>
      <c r="S2036" s="25" t="s">
        <v>8701</v>
      </c>
      <c r="T2036" s="25" t="s">
        <v>43</v>
      </c>
      <c r="U2036" s="5" t="s">
        <v>8702</v>
      </c>
      <c r="V2036" s="5" t="s">
        <v>8703</v>
      </c>
      <c r="W2036" s="5" t="s">
        <v>46</v>
      </c>
      <c r="X2036" s="5"/>
      <c r="Y2036" s="5"/>
      <c r="Z2036" s="5" t="str">
        <f>HYPERLINK("https://knigipp.ru/api/getInfo/image/6c17bc28-22af-11ec-a20f-ac1f6b442185")</f>
        <v>https://knigipp.ru/api/getInfo/image/6c17bc28-22af-11ec-a20f-ac1f6b442185</v>
      </c>
      <c r="AA2036" s="33">
        <v>144</v>
      </c>
      <c r="AB2036" s="5"/>
      <c r="AC2036" s="5" t="s">
        <v>86</v>
      </c>
      <c r="AD2036" s="5"/>
      <c r="AE2036" s="5" t="s">
        <v>49</v>
      </c>
      <c r="AF2036" s="5"/>
      <c r="AG2036" s="5"/>
      <c r="AH2036" s="5" t="s">
        <v>8704</v>
      </c>
    </row>
    <row r="2037" spans="2:35" ht="21" customHeight="1" outlineLevel="4" x14ac:dyDescent="0.2">
      <c r="B2037" s="42">
        <v>1588</v>
      </c>
      <c r="C2037" s="5" t="s">
        <v>8705</v>
      </c>
      <c r="D2037" s="5" t="s">
        <v>8706</v>
      </c>
      <c r="E2037" s="6" t="s">
        <v>8707</v>
      </c>
      <c r="F2037" s="10"/>
      <c r="G2037" s="11" t="s">
        <v>8708</v>
      </c>
      <c r="H2037" s="12">
        <v>20</v>
      </c>
      <c r="I2037" s="13" t="s">
        <v>41</v>
      </c>
      <c r="J2037" s="13"/>
      <c r="K2037" s="13"/>
      <c r="L2037" s="4">
        <v>1</v>
      </c>
      <c r="M2037" s="14">
        <f>617*(1-P3/100)</f>
        <v>617</v>
      </c>
      <c r="N2037" s="15"/>
      <c r="O2037" s="13">
        <f>M2037*N2037</f>
        <v>0</v>
      </c>
      <c r="P2037" s="32">
        <f>0.28*N2037</f>
        <v>0</v>
      </c>
      <c r="Q2037" s="23">
        <f>0.00048*N2037</f>
        <v>0</v>
      </c>
      <c r="R2037" s="24"/>
      <c r="S2037" s="25" t="s">
        <v>8709</v>
      </c>
      <c r="T2037" s="25" t="s">
        <v>43</v>
      </c>
      <c r="U2037" s="5"/>
      <c r="V2037" s="5" t="s">
        <v>8710</v>
      </c>
      <c r="W2037" s="5" t="s">
        <v>46</v>
      </c>
      <c r="X2037" s="5"/>
      <c r="Y2037" s="5"/>
      <c r="Z2037" s="5" t="str">
        <f>HYPERLINK("https://knigipp.ru/api/getInfo/image/4651f403-9959-11ec-a211-ac1f6b442185")</f>
        <v>https://knigipp.ru/api/getInfo/image/4651f403-9959-11ec-a211-ac1f6b442185</v>
      </c>
      <c r="AA2037" s="33">
        <v>96</v>
      </c>
      <c r="AB2037" s="5" t="s">
        <v>47</v>
      </c>
      <c r="AC2037" s="5" t="s">
        <v>48</v>
      </c>
      <c r="AD2037" s="5"/>
      <c r="AE2037" s="5" t="s">
        <v>49</v>
      </c>
      <c r="AF2037" s="5"/>
      <c r="AG2037" s="5"/>
      <c r="AH2037" s="5" t="s">
        <v>8711</v>
      </c>
    </row>
    <row r="2038" spans="2:35" ht="22.95" customHeight="1" outlineLevel="2" x14ac:dyDescent="0.2">
      <c r="B2038" s="73" t="s">
        <v>8712</v>
      </c>
      <c r="C2038" s="73"/>
      <c r="D2038" s="73"/>
    </row>
    <row r="2039" spans="2:35" ht="22.95" customHeight="1" outlineLevel="3" x14ac:dyDescent="0.2">
      <c r="B2039" s="74" t="s">
        <v>8713</v>
      </c>
      <c r="C2039" s="74"/>
      <c r="D2039" s="74"/>
    </row>
    <row r="2040" spans="2:35" ht="21" customHeight="1" outlineLevel="4" x14ac:dyDescent="0.2">
      <c r="B2040" s="43">
        <v>1589</v>
      </c>
      <c r="C2040" s="8" t="s">
        <v>8714</v>
      </c>
      <c r="D2040" s="8" t="s">
        <v>8715</v>
      </c>
      <c r="E2040" s="9" t="s">
        <v>8716</v>
      </c>
      <c r="F2040" s="16"/>
      <c r="G2040" s="17" t="s">
        <v>8717</v>
      </c>
      <c r="H2040" s="18">
        <v>10</v>
      </c>
      <c r="I2040" s="19" t="s">
        <v>41</v>
      </c>
      <c r="J2040" s="19"/>
      <c r="K2040" s="19"/>
      <c r="L2040" s="7">
        <v>1</v>
      </c>
      <c r="M2040" s="21">
        <f>447*(1-P3/100)</f>
        <v>447</v>
      </c>
      <c r="N2040" s="15"/>
      <c r="O2040" s="19">
        <f>M2040*N2040</f>
        <v>0</v>
      </c>
      <c r="P2040" s="26">
        <f>0.213*N2040</f>
        <v>0</v>
      </c>
      <c r="Q2040" s="27">
        <f>0.00067*N2040</f>
        <v>0</v>
      </c>
      <c r="R2040" s="28" t="s">
        <v>81</v>
      </c>
      <c r="S2040" s="29" t="s">
        <v>8718</v>
      </c>
      <c r="T2040" s="29" t="s">
        <v>43</v>
      </c>
      <c r="U2040" s="8" t="s">
        <v>8341</v>
      </c>
      <c r="V2040" s="8" t="s">
        <v>8719</v>
      </c>
      <c r="W2040" s="8" t="s">
        <v>2731</v>
      </c>
      <c r="X2040" s="8"/>
      <c r="Y2040" s="8"/>
      <c r="Z2040" s="8" t="str">
        <f>HYPERLINK("https://knigipp.ru/api/getInfo/image/b502cefe-8fd6-11f0-a284-00155d82e908")</f>
        <v>https://knigipp.ru/api/getInfo/image/b502cefe-8fd6-11f0-a284-00155d82e908</v>
      </c>
      <c r="AA2040" s="34">
        <v>272</v>
      </c>
      <c r="AB2040" s="8" t="s">
        <v>8311</v>
      </c>
      <c r="AC2040" s="8" t="s">
        <v>48</v>
      </c>
      <c r="AD2040" s="8"/>
      <c r="AE2040" s="8" t="s">
        <v>49</v>
      </c>
      <c r="AF2040" s="8"/>
      <c r="AG2040" s="8"/>
      <c r="AH2040" s="8" t="s">
        <v>8720</v>
      </c>
      <c r="AI2040" s="55"/>
    </row>
    <row r="2041" spans="2:35" ht="21" customHeight="1" outlineLevel="4" x14ac:dyDescent="0.2">
      <c r="B2041" s="43">
        <v>1590</v>
      </c>
      <c r="C2041" s="8" t="s">
        <v>8721</v>
      </c>
      <c r="D2041" s="8" t="s">
        <v>8722</v>
      </c>
      <c r="E2041" s="9" t="s">
        <v>8723</v>
      </c>
      <c r="F2041" s="16"/>
      <c r="G2041" s="17" t="s">
        <v>8724</v>
      </c>
      <c r="H2041" s="18">
        <v>10</v>
      </c>
      <c r="I2041" s="19" t="s">
        <v>41</v>
      </c>
      <c r="J2041" s="19"/>
      <c r="K2041" s="19"/>
      <c r="L2041" s="7">
        <v>1</v>
      </c>
      <c r="M2041" s="21">
        <f>347*(1-P3/100)</f>
        <v>347</v>
      </c>
      <c r="N2041" s="15"/>
      <c r="O2041" s="19">
        <f>M2041*N2041</f>
        <v>0</v>
      </c>
      <c r="P2041" s="26">
        <f>0.211*N2041</f>
        <v>0</v>
      </c>
      <c r="Q2041" s="27">
        <f>0.00055*N2041</f>
        <v>0</v>
      </c>
      <c r="R2041" s="28" t="s">
        <v>81</v>
      </c>
      <c r="S2041" s="29" t="s">
        <v>8725</v>
      </c>
      <c r="T2041" s="29" t="s">
        <v>94</v>
      </c>
      <c r="U2041" s="8" t="s">
        <v>8726</v>
      </c>
      <c r="V2041" s="8"/>
      <c r="W2041" s="8" t="s">
        <v>2612</v>
      </c>
      <c r="X2041" s="8"/>
      <c r="Y2041" s="8"/>
      <c r="Z2041" s="8" t="str">
        <f>HYPERLINK("https://knigipp.ru/api/getInfo/image/731cac0d-b65c-11f0-a286-00155d82e908")</f>
        <v>https://knigipp.ru/api/getInfo/image/731cac0d-b65c-11f0-a286-00155d82e908</v>
      </c>
      <c r="AA2041" s="34">
        <v>240</v>
      </c>
      <c r="AB2041" s="8" t="s">
        <v>574</v>
      </c>
      <c r="AC2041" s="8" t="s">
        <v>48</v>
      </c>
      <c r="AD2041" s="8"/>
      <c r="AE2041" s="8" t="s">
        <v>49</v>
      </c>
      <c r="AF2041" s="8"/>
      <c r="AG2041" s="8"/>
      <c r="AH2041" s="8" t="s">
        <v>8727</v>
      </c>
      <c r="AI2041" s="55"/>
    </row>
    <row r="2042" spans="2:35" ht="22.95" customHeight="1" outlineLevel="3" x14ac:dyDescent="0.2">
      <c r="B2042" s="74" t="s">
        <v>8728</v>
      </c>
      <c r="C2042" s="74"/>
      <c r="D2042" s="74"/>
    </row>
    <row r="2043" spans="2:35" ht="21" customHeight="1" outlineLevel="4" x14ac:dyDescent="0.2">
      <c r="B2043" s="43">
        <v>1591</v>
      </c>
      <c r="C2043" s="8" t="s">
        <v>8729</v>
      </c>
      <c r="D2043" s="8" t="s">
        <v>8730</v>
      </c>
      <c r="E2043" s="9" t="s">
        <v>8731</v>
      </c>
      <c r="F2043" s="16"/>
      <c r="G2043" s="17" t="s">
        <v>8732</v>
      </c>
      <c r="H2043" s="18">
        <v>10</v>
      </c>
      <c r="I2043" s="19" t="s">
        <v>41</v>
      </c>
      <c r="J2043" s="19"/>
      <c r="K2043" s="19"/>
      <c r="L2043" s="7">
        <v>1</v>
      </c>
      <c r="M2043" s="21">
        <f>767*(1-P3/100)</f>
        <v>767</v>
      </c>
      <c r="N2043" s="15"/>
      <c r="O2043" s="19">
        <f t="shared" ref="O2043:O2053" si="89">M2043*N2043</f>
        <v>0</v>
      </c>
      <c r="P2043" s="26">
        <f>0.447*N2043</f>
        <v>0</v>
      </c>
      <c r="Q2043" s="27">
        <f>0.00067*N2043</f>
        <v>0</v>
      </c>
      <c r="R2043" s="28" t="s">
        <v>81</v>
      </c>
      <c r="S2043" s="29" t="s">
        <v>8733</v>
      </c>
      <c r="T2043" s="29" t="s">
        <v>43</v>
      </c>
      <c r="U2043" s="8" t="s">
        <v>8064</v>
      </c>
      <c r="V2043" s="8" t="s">
        <v>8734</v>
      </c>
      <c r="W2043" s="8" t="s">
        <v>2612</v>
      </c>
      <c r="X2043" s="8"/>
      <c r="Y2043" s="8"/>
      <c r="Z2043" s="8" t="str">
        <f>HYPERLINK("https://knigipp.ru/api/getInfo/image/5ca0c160-cc5a-11f0-a28a-00155d82e908")</f>
        <v>https://knigipp.ru/api/getInfo/image/5ca0c160-cc5a-11f0-a28a-00155d82e908</v>
      </c>
      <c r="AA2043" s="34">
        <v>320</v>
      </c>
      <c r="AB2043" s="8" t="s">
        <v>598</v>
      </c>
      <c r="AC2043" s="8" t="s">
        <v>86</v>
      </c>
      <c r="AD2043" s="8"/>
      <c r="AE2043" s="8" t="s">
        <v>49</v>
      </c>
      <c r="AF2043" s="8"/>
      <c r="AG2043" s="8"/>
      <c r="AH2043" s="8" t="s">
        <v>8735</v>
      </c>
      <c r="AI2043" s="55"/>
    </row>
    <row r="2044" spans="2:35" ht="21" customHeight="1" outlineLevel="4" x14ac:dyDescent="0.2">
      <c r="B2044" s="43">
        <v>1592</v>
      </c>
      <c r="C2044" s="8" t="s">
        <v>8736</v>
      </c>
      <c r="D2044" s="8" t="s">
        <v>8737</v>
      </c>
      <c r="E2044" s="9" t="s">
        <v>8738</v>
      </c>
      <c r="F2044" s="16"/>
      <c r="G2044" s="17" t="s">
        <v>8739</v>
      </c>
      <c r="H2044" s="18">
        <v>10</v>
      </c>
      <c r="I2044" s="19" t="s">
        <v>41</v>
      </c>
      <c r="J2044" s="19"/>
      <c r="K2044" s="19"/>
      <c r="L2044" s="7">
        <v>1</v>
      </c>
      <c r="M2044" s="21">
        <f>767*(1-P3/100)</f>
        <v>767</v>
      </c>
      <c r="N2044" s="15"/>
      <c r="O2044" s="19">
        <f t="shared" si="89"/>
        <v>0</v>
      </c>
      <c r="P2044" s="26">
        <f>0.288*N2044</f>
        <v>0</v>
      </c>
      <c r="Q2044" s="27">
        <f>0.00077*N2044</f>
        <v>0</v>
      </c>
      <c r="R2044" s="28" t="s">
        <v>81</v>
      </c>
      <c r="S2044" s="29" t="s">
        <v>8740</v>
      </c>
      <c r="T2044" s="29" t="s">
        <v>43</v>
      </c>
      <c r="U2044" s="8" t="s">
        <v>8341</v>
      </c>
      <c r="V2044" s="8" t="s">
        <v>8741</v>
      </c>
      <c r="W2044" s="8" t="s">
        <v>2612</v>
      </c>
      <c r="X2044" s="8"/>
      <c r="Y2044" s="8"/>
      <c r="Z2044" s="8" t="str">
        <f>HYPERLINK("https://knigipp.ru/api/getInfo/image/efd464bd-cc59-11f0-a28a-00155d82e908")</f>
        <v>https://knigipp.ru/api/getInfo/image/efd464bd-cc59-11f0-a28a-00155d82e908</v>
      </c>
      <c r="AA2044" s="34">
        <v>288</v>
      </c>
      <c r="AB2044" s="8" t="s">
        <v>598</v>
      </c>
      <c r="AC2044" s="8" t="s">
        <v>86</v>
      </c>
      <c r="AD2044" s="8"/>
      <c r="AE2044" s="8" t="s">
        <v>49</v>
      </c>
      <c r="AF2044" s="8"/>
      <c r="AG2044" s="8"/>
      <c r="AH2044" s="8" t="s">
        <v>8441</v>
      </c>
      <c r="AI2044" s="55"/>
    </row>
    <row r="2045" spans="2:35" ht="21" customHeight="1" outlineLevel="4" x14ac:dyDescent="0.2">
      <c r="B2045" s="43">
        <v>1593</v>
      </c>
      <c r="C2045" s="8" t="s">
        <v>8742</v>
      </c>
      <c r="D2045" s="8" t="s">
        <v>8743</v>
      </c>
      <c r="E2045" s="9" t="s">
        <v>8744</v>
      </c>
      <c r="F2045" s="16"/>
      <c r="G2045" s="17" t="s">
        <v>8745</v>
      </c>
      <c r="H2045" s="18">
        <v>10</v>
      </c>
      <c r="I2045" s="19" t="s">
        <v>41</v>
      </c>
      <c r="J2045" s="19"/>
      <c r="K2045" s="19"/>
      <c r="L2045" s="7">
        <v>1</v>
      </c>
      <c r="M2045" s="21">
        <f>597*(1-P3/100)</f>
        <v>597</v>
      </c>
      <c r="N2045" s="15"/>
      <c r="O2045" s="19">
        <f t="shared" si="89"/>
        <v>0</v>
      </c>
      <c r="P2045" s="26">
        <f>0.234*N2045</f>
        <v>0</v>
      </c>
      <c r="Q2045" s="27">
        <f>0.00047*N2045</f>
        <v>0</v>
      </c>
      <c r="R2045" s="28" t="s">
        <v>81</v>
      </c>
      <c r="S2045" s="29" t="s">
        <v>8746</v>
      </c>
      <c r="T2045" s="29" t="s">
        <v>43</v>
      </c>
      <c r="U2045" s="8" t="s">
        <v>8129</v>
      </c>
      <c r="V2045" s="8" t="s">
        <v>8747</v>
      </c>
      <c r="W2045" s="8" t="s">
        <v>2612</v>
      </c>
      <c r="X2045" s="8"/>
      <c r="Y2045" s="8"/>
      <c r="Z2045" s="8" t="str">
        <f>HYPERLINK("https://knigipp.ru/api/getInfo/image/e639d797-9dff-11f0-a285-00155d82e908")</f>
        <v>https://knigipp.ru/api/getInfo/image/e639d797-9dff-11f0-a285-00155d82e908</v>
      </c>
      <c r="AA2045" s="34">
        <v>208</v>
      </c>
      <c r="AB2045" s="8" t="s">
        <v>598</v>
      </c>
      <c r="AC2045" s="8" t="s">
        <v>86</v>
      </c>
      <c r="AD2045" s="8"/>
      <c r="AE2045" s="8" t="s">
        <v>49</v>
      </c>
      <c r="AF2045" s="8"/>
      <c r="AG2045" s="8"/>
      <c r="AH2045" s="8" t="s">
        <v>859</v>
      </c>
      <c r="AI2045" s="55"/>
    </row>
    <row r="2046" spans="2:35" ht="21" customHeight="1" outlineLevel="4" x14ac:dyDescent="0.2">
      <c r="B2046" s="42">
        <v>1594</v>
      </c>
      <c r="C2046" s="5" t="s">
        <v>8748</v>
      </c>
      <c r="D2046" s="5" t="s">
        <v>8749</v>
      </c>
      <c r="E2046" s="6" t="s">
        <v>8750</v>
      </c>
      <c r="F2046" s="10"/>
      <c r="G2046" s="11" t="s">
        <v>8751</v>
      </c>
      <c r="H2046" s="12">
        <v>10</v>
      </c>
      <c r="I2046" s="13" t="s">
        <v>41</v>
      </c>
      <c r="J2046" s="13"/>
      <c r="K2046" s="13"/>
      <c r="L2046" s="4">
        <v>1</v>
      </c>
      <c r="M2046" s="14">
        <f>577*(1-P3/100)</f>
        <v>577</v>
      </c>
      <c r="N2046" s="15"/>
      <c r="O2046" s="13">
        <f t="shared" si="89"/>
        <v>0</v>
      </c>
      <c r="P2046" s="32">
        <f>0.25*N2046</f>
        <v>0</v>
      </c>
      <c r="Q2046" s="30">
        <f>0.0006*N2046</f>
        <v>0</v>
      </c>
      <c r="R2046" s="24"/>
      <c r="S2046" s="25" t="s">
        <v>8752</v>
      </c>
      <c r="T2046" s="25" t="s">
        <v>43</v>
      </c>
      <c r="U2046" s="5" t="s">
        <v>8129</v>
      </c>
      <c r="V2046" s="5" t="s">
        <v>8753</v>
      </c>
      <c r="W2046" s="5" t="s">
        <v>2731</v>
      </c>
      <c r="X2046" s="5"/>
      <c r="Y2046" s="5"/>
      <c r="Z2046" s="5" t="str">
        <f>HYPERLINK("https://knigipp.ru/api/getInfo/image/8b90c19f-4f1e-11ef-a262-00155d82e908")</f>
        <v>https://knigipp.ru/api/getInfo/image/8b90c19f-4f1e-11ef-a262-00155d82e908</v>
      </c>
      <c r="AA2046" s="33">
        <v>224</v>
      </c>
      <c r="AB2046" s="5" t="s">
        <v>598</v>
      </c>
      <c r="AC2046" s="5" t="s">
        <v>86</v>
      </c>
      <c r="AD2046" s="5"/>
      <c r="AE2046" s="5" t="s">
        <v>49</v>
      </c>
      <c r="AF2046" s="5"/>
      <c r="AG2046" s="5"/>
      <c r="AH2046" s="5" t="s">
        <v>1996</v>
      </c>
    </row>
    <row r="2047" spans="2:35" ht="21" customHeight="1" outlineLevel="4" x14ac:dyDescent="0.2">
      <c r="B2047" s="42">
        <v>1595</v>
      </c>
      <c r="C2047" s="5" t="s">
        <v>8754</v>
      </c>
      <c r="D2047" s="5" t="s">
        <v>8755</v>
      </c>
      <c r="E2047" s="6" t="s">
        <v>8756</v>
      </c>
      <c r="F2047" s="10"/>
      <c r="G2047" s="11" t="s">
        <v>8757</v>
      </c>
      <c r="H2047" s="12">
        <v>10</v>
      </c>
      <c r="I2047" s="13" t="s">
        <v>41</v>
      </c>
      <c r="J2047" s="13"/>
      <c r="K2047" s="13"/>
      <c r="L2047" s="4">
        <v>1</v>
      </c>
      <c r="M2047" s="14">
        <f>537*(1-P3/100)</f>
        <v>537</v>
      </c>
      <c r="N2047" s="15"/>
      <c r="O2047" s="13">
        <f t="shared" si="89"/>
        <v>0</v>
      </c>
      <c r="P2047" s="22">
        <f>0.215*N2047</f>
        <v>0</v>
      </c>
      <c r="Q2047" s="23">
        <f>0.00065*N2047</f>
        <v>0</v>
      </c>
      <c r="R2047" s="24"/>
      <c r="S2047" s="25" t="s">
        <v>8758</v>
      </c>
      <c r="T2047" s="25" t="s">
        <v>43</v>
      </c>
      <c r="U2047" s="5" t="s">
        <v>8759</v>
      </c>
      <c r="V2047" s="5" t="s">
        <v>8760</v>
      </c>
      <c r="W2047" s="5" t="s">
        <v>2731</v>
      </c>
      <c r="X2047" s="5"/>
      <c r="Y2047" s="5"/>
      <c r="Z2047" s="5" t="str">
        <f>HYPERLINK("https://knigipp.ru/api/getInfo/image/64fa85c0-0e37-11f0-a279-00155d82e908")</f>
        <v>https://knigipp.ru/api/getInfo/image/64fa85c0-0e37-11f0-a279-00155d82e908</v>
      </c>
      <c r="AA2047" s="33">
        <v>192</v>
      </c>
      <c r="AB2047" s="5" t="s">
        <v>598</v>
      </c>
      <c r="AC2047" s="5" t="s">
        <v>86</v>
      </c>
      <c r="AD2047" s="5"/>
      <c r="AE2047" s="5" t="s">
        <v>49</v>
      </c>
      <c r="AF2047" s="5"/>
      <c r="AG2047" s="5"/>
      <c r="AH2047" s="5" t="s">
        <v>1939</v>
      </c>
    </row>
    <row r="2048" spans="2:35" ht="21" customHeight="1" outlineLevel="4" x14ac:dyDescent="0.2">
      <c r="B2048" s="42">
        <v>1596</v>
      </c>
      <c r="C2048" s="5" t="s">
        <v>8761</v>
      </c>
      <c r="D2048" s="5" t="s">
        <v>8762</v>
      </c>
      <c r="E2048" s="6" t="s">
        <v>8763</v>
      </c>
      <c r="F2048" s="10"/>
      <c r="G2048" s="11" t="s">
        <v>8764</v>
      </c>
      <c r="H2048" s="12">
        <v>10</v>
      </c>
      <c r="I2048" s="13" t="s">
        <v>41</v>
      </c>
      <c r="J2048" s="13"/>
      <c r="K2048" s="13"/>
      <c r="L2048" s="4">
        <v>1</v>
      </c>
      <c r="M2048" s="14">
        <f>667*(1-P3/100)</f>
        <v>667</v>
      </c>
      <c r="N2048" s="15"/>
      <c r="O2048" s="13">
        <f t="shared" si="89"/>
        <v>0</v>
      </c>
      <c r="P2048" s="22">
        <f>0.278*N2048</f>
        <v>0</v>
      </c>
      <c r="Q2048" s="23">
        <f>0.00086*N2048</f>
        <v>0</v>
      </c>
      <c r="R2048" s="24"/>
      <c r="S2048" s="25" t="s">
        <v>8765</v>
      </c>
      <c r="T2048" s="25" t="s">
        <v>43</v>
      </c>
      <c r="U2048" s="5" t="s">
        <v>8341</v>
      </c>
      <c r="V2048" s="5" t="s">
        <v>8766</v>
      </c>
      <c r="W2048" s="5" t="s">
        <v>2731</v>
      </c>
      <c r="X2048" s="5"/>
      <c r="Y2048" s="5"/>
      <c r="Z2048" s="5" t="str">
        <f>HYPERLINK("https://knigipp.ru/api/getInfo/image/d268dc9e-9784-11ef-a267-00155d82e908")</f>
        <v>https://knigipp.ru/api/getInfo/image/d268dc9e-9784-11ef-a267-00155d82e908</v>
      </c>
      <c r="AA2048" s="33">
        <v>272</v>
      </c>
      <c r="AB2048" s="5" t="s">
        <v>598</v>
      </c>
      <c r="AC2048" s="5" t="s">
        <v>86</v>
      </c>
      <c r="AD2048" s="5"/>
      <c r="AE2048" s="5" t="s">
        <v>49</v>
      </c>
      <c r="AF2048" s="5"/>
      <c r="AG2048" s="5"/>
      <c r="AH2048" s="5" t="s">
        <v>8767</v>
      </c>
    </row>
    <row r="2049" spans="2:35" ht="21" customHeight="1" outlineLevel="4" x14ac:dyDescent="0.2">
      <c r="B2049" s="42">
        <v>1597</v>
      </c>
      <c r="C2049" s="5" t="s">
        <v>8768</v>
      </c>
      <c r="D2049" s="5" t="s">
        <v>8769</v>
      </c>
      <c r="E2049" s="6" t="s">
        <v>8770</v>
      </c>
      <c r="F2049" s="10"/>
      <c r="G2049" s="11" t="s">
        <v>8771</v>
      </c>
      <c r="H2049" s="12">
        <v>10</v>
      </c>
      <c r="I2049" s="13" t="s">
        <v>41</v>
      </c>
      <c r="J2049" s="13"/>
      <c r="K2049" s="13"/>
      <c r="L2049" s="4">
        <v>1</v>
      </c>
      <c r="M2049" s="14">
        <f>757*(1-P3/100)</f>
        <v>757</v>
      </c>
      <c r="N2049" s="15"/>
      <c r="O2049" s="13">
        <f t="shared" si="89"/>
        <v>0</v>
      </c>
      <c r="P2049" s="22">
        <f>0.323*N2049</f>
        <v>0</v>
      </c>
      <c r="Q2049" s="23">
        <f>0.00081*N2049</f>
        <v>0</v>
      </c>
      <c r="R2049" s="24"/>
      <c r="S2049" s="25" t="s">
        <v>8772</v>
      </c>
      <c r="T2049" s="25" t="s">
        <v>43</v>
      </c>
      <c r="U2049" s="5" t="s">
        <v>8773</v>
      </c>
      <c r="V2049" s="5" t="s">
        <v>8774</v>
      </c>
      <c r="W2049" s="5" t="s">
        <v>2731</v>
      </c>
      <c r="X2049" s="5"/>
      <c r="Y2049" s="5"/>
      <c r="Z2049" s="5" t="str">
        <f>HYPERLINK("https://knigipp.ru/api/getInfo/image/1c2dcbed-84cd-11f0-a284-00155d82e908")</f>
        <v>https://knigipp.ru/api/getInfo/image/1c2dcbed-84cd-11f0-a284-00155d82e908</v>
      </c>
      <c r="AA2049" s="33">
        <v>272</v>
      </c>
      <c r="AB2049" s="5" t="s">
        <v>598</v>
      </c>
      <c r="AC2049" s="5" t="s">
        <v>86</v>
      </c>
      <c r="AD2049" s="5"/>
      <c r="AE2049" s="5" t="s">
        <v>49</v>
      </c>
      <c r="AF2049" s="5"/>
      <c r="AG2049" s="5"/>
      <c r="AH2049" s="5" t="s">
        <v>8735</v>
      </c>
    </row>
    <row r="2050" spans="2:35" ht="21" customHeight="1" outlineLevel="4" x14ac:dyDescent="0.2">
      <c r="B2050" s="42">
        <v>1598</v>
      </c>
      <c r="C2050" s="5" t="s">
        <v>8775</v>
      </c>
      <c r="D2050" s="5" t="s">
        <v>8776</v>
      </c>
      <c r="E2050" s="6" t="s">
        <v>8777</v>
      </c>
      <c r="F2050" s="10"/>
      <c r="G2050" s="11" t="s">
        <v>8778</v>
      </c>
      <c r="H2050" s="12">
        <v>16</v>
      </c>
      <c r="I2050" s="13" t="s">
        <v>41</v>
      </c>
      <c r="J2050" s="13"/>
      <c r="K2050" s="13"/>
      <c r="L2050" s="4">
        <v>1</v>
      </c>
      <c r="M2050" s="14">
        <f>577*(1-P3/100)</f>
        <v>577</v>
      </c>
      <c r="N2050" s="15"/>
      <c r="O2050" s="13">
        <f t="shared" si="89"/>
        <v>0</v>
      </c>
      <c r="P2050" s="22">
        <f>0.276*N2050</f>
        <v>0</v>
      </c>
      <c r="Q2050" s="23">
        <f>0.00072*N2050</f>
        <v>0</v>
      </c>
      <c r="R2050" s="24"/>
      <c r="S2050" s="25" t="s">
        <v>8779</v>
      </c>
      <c r="T2050" s="25" t="s">
        <v>43</v>
      </c>
      <c r="U2050" s="5" t="s">
        <v>8341</v>
      </c>
      <c r="V2050" s="5" t="s">
        <v>8780</v>
      </c>
      <c r="W2050" s="5" t="s">
        <v>2731</v>
      </c>
      <c r="X2050" s="5"/>
      <c r="Y2050" s="5"/>
      <c r="Z2050" s="5" t="str">
        <f>HYPERLINK("https://knigipp.ru/api/getInfo/image/a9097c62-3555-11ef-a261-00155d82e908")</f>
        <v>https://knigipp.ru/api/getInfo/image/a9097c62-3555-11ef-a261-00155d82e908</v>
      </c>
      <c r="AA2050" s="33">
        <v>224</v>
      </c>
      <c r="AB2050" s="5" t="s">
        <v>598</v>
      </c>
      <c r="AC2050" s="5" t="s">
        <v>86</v>
      </c>
      <c r="AD2050" s="5"/>
      <c r="AE2050" s="5" t="s">
        <v>49</v>
      </c>
      <c r="AF2050" s="5"/>
      <c r="AG2050" s="5"/>
      <c r="AH2050" s="5" t="s">
        <v>8767</v>
      </c>
    </row>
    <row r="2051" spans="2:35" ht="21" customHeight="1" outlineLevel="4" x14ac:dyDescent="0.2">
      <c r="B2051" s="42">
        <v>1599</v>
      </c>
      <c r="C2051" s="5" t="s">
        <v>8775</v>
      </c>
      <c r="D2051" s="5" t="s">
        <v>8776</v>
      </c>
      <c r="E2051" s="6" t="s">
        <v>8777</v>
      </c>
      <c r="F2051" s="10"/>
      <c r="G2051" s="11" t="s">
        <v>8778</v>
      </c>
      <c r="H2051" s="12">
        <v>10</v>
      </c>
      <c r="I2051" s="13" t="s">
        <v>41</v>
      </c>
      <c r="J2051" s="13"/>
      <c r="K2051" s="13"/>
      <c r="L2051" s="4">
        <v>1</v>
      </c>
      <c r="M2051" s="14">
        <f>577*(1-P3/100)</f>
        <v>577</v>
      </c>
      <c r="N2051" s="15"/>
      <c r="O2051" s="13">
        <f t="shared" si="89"/>
        <v>0</v>
      </c>
      <c r="P2051" s="22">
        <f>0.276*N2051</f>
        <v>0</v>
      </c>
      <c r="Q2051" s="23">
        <f>0.00072*N2051</f>
        <v>0</v>
      </c>
      <c r="R2051" s="24"/>
      <c r="S2051" s="25" t="s">
        <v>8779</v>
      </c>
      <c r="T2051" s="25" t="s">
        <v>43</v>
      </c>
      <c r="U2051" s="5" t="s">
        <v>8341</v>
      </c>
      <c r="V2051" s="5" t="s">
        <v>8780</v>
      </c>
      <c r="W2051" s="5" t="s">
        <v>2731</v>
      </c>
      <c r="X2051" s="5"/>
      <c r="Y2051" s="5"/>
      <c r="Z2051" s="5" t="str">
        <f>HYPERLINK("https://knigipp.ru/api/getInfo/image/a9097c62-3555-11ef-a261-00155d82e908")</f>
        <v>https://knigipp.ru/api/getInfo/image/a9097c62-3555-11ef-a261-00155d82e908</v>
      </c>
      <c r="AA2051" s="33">
        <v>224</v>
      </c>
      <c r="AB2051" s="5" t="s">
        <v>598</v>
      </c>
      <c r="AC2051" s="5" t="s">
        <v>86</v>
      </c>
      <c r="AD2051" s="5"/>
      <c r="AE2051" s="5" t="s">
        <v>49</v>
      </c>
      <c r="AF2051" s="5"/>
      <c r="AG2051" s="5"/>
      <c r="AH2051" s="5" t="s">
        <v>8767</v>
      </c>
    </row>
    <row r="2052" spans="2:35" ht="21" customHeight="1" outlineLevel="4" x14ac:dyDescent="0.2">
      <c r="B2052" s="42">
        <v>1600</v>
      </c>
      <c r="C2052" s="5" t="s">
        <v>8781</v>
      </c>
      <c r="D2052" s="5" t="s">
        <v>8782</v>
      </c>
      <c r="E2052" s="6" t="s">
        <v>8783</v>
      </c>
      <c r="F2052" s="10"/>
      <c r="G2052" s="11" t="s">
        <v>8784</v>
      </c>
      <c r="H2052" s="12">
        <v>10</v>
      </c>
      <c r="I2052" s="13" t="s">
        <v>41</v>
      </c>
      <c r="J2052" s="13"/>
      <c r="K2052" s="13"/>
      <c r="L2052" s="4">
        <v>1</v>
      </c>
      <c r="M2052" s="14">
        <f>697*(1-P3/100)</f>
        <v>697</v>
      </c>
      <c r="N2052" s="15"/>
      <c r="O2052" s="13">
        <f t="shared" si="89"/>
        <v>0</v>
      </c>
      <c r="P2052" s="22">
        <f>0.315*N2052</f>
        <v>0</v>
      </c>
      <c r="Q2052" s="23">
        <f>0.00066*N2052</f>
        <v>0</v>
      </c>
      <c r="R2052" s="24"/>
      <c r="S2052" s="25" t="s">
        <v>8785</v>
      </c>
      <c r="T2052" s="25" t="s">
        <v>43</v>
      </c>
      <c r="U2052" s="5" t="s">
        <v>8064</v>
      </c>
      <c r="V2052" s="5" t="s">
        <v>8786</v>
      </c>
      <c r="W2052" s="5" t="s">
        <v>2731</v>
      </c>
      <c r="X2052" s="5"/>
      <c r="Y2052" s="5"/>
      <c r="Z2052" s="5" t="str">
        <f>HYPERLINK("https://knigipp.ru/api/getInfo/image/72be1868-3d5a-11f0-a27c-00155d82e908")</f>
        <v>https://knigipp.ru/api/getInfo/image/72be1868-3d5a-11f0-a27c-00155d82e908</v>
      </c>
      <c r="AA2052" s="33">
        <v>304</v>
      </c>
      <c r="AB2052" s="5" t="s">
        <v>598</v>
      </c>
      <c r="AC2052" s="5" t="s">
        <v>86</v>
      </c>
      <c r="AD2052" s="5"/>
      <c r="AE2052" s="5" t="s">
        <v>49</v>
      </c>
      <c r="AF2052" s="5"/>
      <c r="AG2052" s="5"/>
      <c r="AH2052" s="5" t="s">
        <v>8735</v>
      </c>
    </row>
    <row r="2053" spans="2:35" ht="21" customHeight="1" outlineLevel="4" x14ac:dyDescent="0.2">
      <c r="B2053" s="42">
        <v>1601</v>
      </c>
      <c r="C2053" s="5" t="s">
        <v>8787</v>
      </c>
      <c r="D2053" s="5" t="s">
        <v>8788</v>
      </c>
      <c r="E2053" s="6" t="s">
        <v>8789</v>
      </c>
      <c r="F2053" s="10"/>
      <c r="G2053" s="11" t="s">
        <v>8790</v>
      </c>
      <c r="H2053" s="12">
        <v>10</v>
      </c>
      <c r="I2053" s="13" t="s">
        <v>41</v>
      </c>
      <c r="J2053" s="13"/>
      <c r="K2053" s="13"/>
      <c r="L2053" s="4">
        <v>1</v>
      </c>
      <c r="M2053" s="14">
        <f>597*(1-P3/100)</f>
        <v>597</v>
      </c>
      <c r="N2053" s="15"/>
      <c r="O2053" s="13">
        <f t="shared" si="89"/>
        <v>0</v>
      </c>
      <c r="P2053" s="22">
        <f>0.284*N2053</f>
        <v>0</v>
      </c>
      <c r="Q2053" s="23">
        <f>0.00839*N2053</f>
        <v>0</v>
      </c>
      <c r="R2053" s="24"/>
      <c r="S2053" s="25" t="s">
        <v>8791</v>
      </c>
      <c r="T2053" s="25" t="s">
        <v>43</v>
      </c>
      <c r="U2053" s="5" t="s">
        <v>8341</v>
      </c>
      <c r="V2053" s="5" t="s">
        <v>8792</v>
      </c>
      <c r="W2053" s="5" t="s">
        <v>2731</v>
      </c>
      <c r="X2053" s="5"/>
      <c r="Y2053" s="5"/>
      <c r="Z2053" s="5" t="str">
        <f>HYPERLINK("https://knigipp.ru/api/getInfo/image/35e33ad0-3d5a-11f0-a27c-00155d82e908")</f>
        <v>https://knigipp.ru/api/getInfo/image/35e33ad0-3d5a-11f0-a27c-00155d82e908</v>
      </c>
      <c r="AA2053" s="33">
        <v>256</v>
      </c>
      <c r="AB2053" s="5" t="s">
        <v>598</v>
      </c>
      <c r="AC2053" s="5" t="s">
        <v>86</v>
      </c>
      <c r="AD2053" s="5"/>
      <c r="AE2053" s="5" t="s">
        <v>49</v>
      </c>
      <c r="AF2053" s="5"/>
      <c r="AG2053" s="5"/>
      <c r="AH2053" s="5" t="s">
        <v>8441</v>
      </c>
    </row>
    <row r="2054" spans="2:35" ht="22.95" customHeight="1" outlineLevel="3" x14ac:dyDescent="0.2">
      <c r="B2054" s="74" t="s">
        <v>8793</v>
      </c>
      <c r="C2054" s="74"/>
      <c r="D2054" s="74"/>
    </row>
    <row r="2055" spans="2:35" ht="21" customHeight="1" outlineLevel="4" x14ac:dyDescent="0.2">
      <c r="B2055" s="43">
        <v>1602</v>
      </c>
      <c r="C2055" s="8" t="s">
        <v>8794</v>
      </c>
      <c r="D2055" s="8" t="s">
        <v>8795</v>
      </c>
      <c r="E2055" s="9" t="s">
        <v>8796</v>
      </c>
      <c r="F2055" s="16"/>
      <c r="G2055" s="17" t="s">
        <v>8724</v>
      </c>
      <c r="H2055" s="18">
        <v>10</v>
      </c>
      <c r="I2055" s="19" t="s">
        <v>41</v>
      </c>
      <c r="J2055" s="19"/>
      <c r="K2055" s="19"/>
      <c r="L2055" s="7">
        <v>1</v>
      </c>
      <c r="M2055" s="21">
        <f>497*(1-P3/100)</f>
        <v>497</v>
      </c>
      <c r="N2055" s="15"/>
      <c r="O2055" s="19">
        <f>M2055*N2055</f>
        <v>0</v>
      </c>
      <c r="P2055" s="26">
        <f>0.266*N2055</f>
        <v>0</v>
      </c>
      <c r="Q2055" s="27">
        <f>0.00066*N2055</f>
        <v>0</v>
      </c>
      <c r="R2055" s="28" t="s">
        <v>81</v>
      </c>
      <c r="S2055" s="29" t="s">
        <v>8797</v>
      </c>
      <c r="T2055" s="29" t="s">
        <v>94</v>
      </c>
      <c r="U2055" s="8" t="s">
        <v>8726</v>
      </c>
      <c r="V2055" s="8" t="s">
        <v>8798</v>
      </c>
      <c r="W2055" s="8" t="s">
        <v>2612</v>
      </c>
      <c r="X2055" s="8"/>
      <c r="Y2055" s="8"/>
      <c r="Z2055" s="8" t="str">
        <f>HYPERLINK("https://knigipp.ru/api/getInfo/image/0c792c76-b65c-11f0-a286-00155d82e908")</f>
        <v>https://knigipp.ru/api/getInfo/image/0c792c76-b65c-11f0-a286-00155d82e908</v>
      </c>
      <c r="AA2055" s="34">
        <v>240</v>
      </c>
      <c r="AB2055" s="8" t="s">
        <v>598</v>
      </c>
      <c r="AC2055" s="8" t="s">
        <v>86</v>
      </c>
      <c r="AD2055" s="8"/>
      <c r="AE2055" s="8" t="s">
        <v>49</v>
      </c>
      <c r="AF2055" s="8"/>
      <c r="AG2055" s="8"/>
      <c r="AH2055" s="8" t="s">
        <v>8735</v>
      </c>
      <c r="AI2055" s="55"/>
    </row>
    <row r="2056" spans="2:35" ht="22.95" customHeight="1" outlineLevel="2" x14ac:dyDescent="0.2">
      <c r="B2056" s="73" t="s">
        <v>8799</v>
      </c>
      <c r="C2056" s="73"/>
      <c r="D2056" s="73"/>
    </row>
    <row r="2057" spans="2:35" ht="21" customHeight="1" outlineLevel="3" x14ac:dyDescent="0.2">
      <c r="B2057" s="43">
        <v>1603</v>
      </c>
      <c r="C2057" s="8" t="s">
        <v>8800</v>
      </c>
      <c r="D2057" s="8" t="s">
        <v>8801</v>
      </c>
      <c r="E2057" s="9" t="s">
        <v>8802</v>
      </c>
      <c r="F2057" s="16"/>
      <c r="G2057" s="17" t="s">
        <v>8803</v>
      </c>
      <c r="H2057" s="18">
        <v>5</v>
      </c>
      <c r="I2057" s="19" t="s">
        <v>41</v>
      </c>
      <c r="J2057" s="19"/>
      <c r="K2057" s="19"/>
      <c r="L2057" s="7">
        <v>2</v>
      </c>
      <c r="M2057" s="21">
        <f>537*(1-P3/100)</f>
        <v>537</v>
      </c>
      <c r="N2057" s="15"/>
      <c r="O2057" s="19">
        <f>M2057*N2057</f>
        <v>0</v>
      </c>
      <c r="P2057" s="26">
        <f>0.348*N2057</f>
        <v>0</v>
      </c>
      <c r="Q2057" s="27">
        <f>0.00096*N2057</f>
        <v>0</v>
      </c>
      <c r="R2057" s="28" t="s">
        <v>81</v>
      </c>
      <c r="S2057" s="29" t="s">
        <v>8804</v>
      </c>
      <c r="T2057" s="29" t="s">
        <v>94</v>
      </c>
      <c r="U2057" s="8" t="s">
        <v>8805</v>
      </c>
      <c r="V2057" s="8" t="s">
        <v>8806</v>
      </c>
      <c r="W2057" s="8" t="s">
        <v>463</v>
      </c>
      <c r="X2057" s="8"/>
      <c r="Y2057" s="8"/>
      <c r="Z2057" s="8" t="str">
        <f>HYPERLINK("https://knigipp.ru/api/getInfo/image/1ba29361-8fd3-11f0-a284-00155d82e908")</f>
        <v>https://knigipp.ru/api/getInfo/image/1ba29361-8fd3-11f0-a284-00155d82e908</v>
      </c>
      <c r="AA2057" s="34">
        <v>448</v>
      </c>
      <c r="AB2057" s="8" t="s">
        <v>8311</v>
      </c>
      <c r="AC2057" s="8" t="s">
        <v>48</v>
      </c>
      <c r="AD2057" s="8"/>
      <c r="AE2057" s="8" t="s">
        <v>49</v>
      </c>
      <c r="AF2057" s="8"/>
      <c r="AG2057" s="8"/>
      <c r="AH2057" s="8" t="s">
        <v>8807</v>
      </c>
      <c r="AI2057" s="55"/>
    </row>
    <row r="2058" spans="2:35" ht="21" customHeight="1" outlineLevel="3" x14ac:dyDescent="0.2">
      <c r="B2058" s="43">
        <v>1604</v>
      </c>
      <c r="C2058" s="8" t="s">
        <v>8808</v>
      </c>
      <c r="D2058" s="8" t="s">
        <v>8809</v>
      </c>
      <c r="E2058" s="9" t="s">
        <v>8810</v>
      </c>
      <c r="F2058" s="16"/>
      <c r="G2058" s="17" t="s">
        <v>8811</v>
      </c>
      <c r="H2058" s="18">
        <v>5</v>
      </c>
      <c r="I2058" s="19" t="s">
        <v>41</v>
      </c>
      <c r="J2058" s="19"/>
      <c r="K2058" s="19"/>
      <c r="L2058" s="7">
        <v>2</v>
      </c>
      <c r="M2058" s="21">
        <f>537*(1-P3/100)</f>
        <v>537</v>
      </c>
      <c r="N2058" s="15"/>
      <c r="O2058" s="19">
        <f>M2058*N2058</f>
        <v>0</v>
      </c>
      <c r="P2058" s="26">
        <f>0.336*N2058</f>
        <v>0</v>
      </c>
      <c r="Q2058" s="27">
        <f>0.00094*N2058</f>
        <v>0</v>
      </c>
      <c r="R2058" s="28" t="s">
        <v>81</v>
      </c>
      <c r="S2058" s="29" t="s">
        <v>8812</v>
      </c>
      <c r="T2058" s="29" t="s">
        <v>94</v>
      </c>
      <c r="U2058" s="8" t="s">
        <v>8813</v>
      </c>
      <c r="V2058" s="8" t="s">
        <v>8814</v>
      </c>
      <c r="W2058" s="8" t="s">
        <v>463</v>
      </c>
      <c r="X2058" s="8"/>
      <c r="Y2058" s="8"/>
      <c r="Z2058" s="8" t="str">
        <f>HYPERLINK("https://knigipp.ru/api/getInfo/image/be7238eb-8fd2-11f0-a284-00155d82e908")</f>
        <v>https://knigipp.ru/api/getInfo/image/be7238eb-8fd2-11f0-a284-00155d82e908</v>
      </c>
      <c r="AA2058" s="34">
        <v>432</v>
      </c>
      <c r="AB2058" s="8" t="s">
        <v>8311</v>
      </c>
      <c r="AC2058" s="8" t="s">
        <v>48</v>
      </c>
      <c r="AD2058" s="8"/>
      <c r="AE2058" s="8" t="s">
        <v>49</v>
      </c>
      <c r="AF2058" s="8"/>
      <c r="AG2058" s="8"/>
      <c r="AH2058" s="8" t="s">
        <v>8807</v>
      </c>
      <c r="AI2058" s="55"/>
    </row>
    <row r="2059" spans="2:35" ht="21" customHeight="1" outlineLevel="3" x14ac:dyDescent="0.2">
      <c r="B2059" s="43">
        <v>1605</v>
      </c>
      <c r="C2059" s="8" t="s">
        <v>8815</v>
      </c>
      <c r="D2059" s="8" t="s">
        <v>8816</v>
      </c>
      <c r="E2059" s="9" t="s">
        <v>8817</v>
      </c>
      <c r="F2059" s="16"/>
      <c r="G2059" s="17" t="s">
        <v>8818</v>
      </c>
      <c r="H2059" s="18">
        <v>5</v>
      </c>
      <c r="I2059" s="19" t="s">
        <v>41</v>
      </c>
      <c r="J2059" s="19"/>
      <c r="K2059" s="19"/>
      <c r="L2059" s="7">
        <v>2</v>
      </c>
      <c r="M2059" s="21">
        <f>297*(1-P3/100)</f>
        <v>297</v>
      </c>
      <c r="N2059" s="15"/>
      <c r="O2059" s="19">
        <f>M2059*N2059</f>
        <v>0</v>
      </c>
      <c r="P2059" s="26">
        <f>0.127*N2059</f>
        <v>0</v>
      </c>
      <c r="Q2059" s="27">
        <f>0.00033*N2059</f>
        <v>0</v>
      </c>
      <c r="R2059" s="28" t="s">
        <v>81</v>
      </c>
      <c r="S2059" s="29" t="s">
        <v>8819</v>
      </c>
      <c r="T2059" s="29" t="s">
        <v>94</v>
      </c>
      <c r="U2059" s="8" t="s">
        <v>8813</v>
      </c>
      <c r="V2059" s="8"/>
      <c r="W2059" s="8" t="s">
        <v>463</v>
      </c>
      <c r="X2059" s="8"/>
      <c r="Y2059" s="8"/>
      <c r="Z2059" s="8" t="str">
        <f>HYPERLINK("https://knigipp.ru/api/getInfo/image/73fd0a17-8fd3-11f0-a284-00155d82e908")</f>
        <v>https://knigipp.ru/api/getInfo/image/73fd0a17-8fd3-11f0-a284-00155d82e908</v>
      </c>
      <c r="AA2059" s="34">
        <v>144</v>
      </c>
      <c r="AB2059" s="8" t="s">
        <v>8311</v>
      </c>
      <c r="AC2059" s="8" t="s">
        <v>48</v>
      </c>
      <c r="AD2059" s="8"/>
      <c r="AE2059" s="8" t="s">
        <v>49</v>
      </c>
      <c r="AF2059" s="8"/>
      <c r="AG2059" s="8"/>
      <c r="AH2059" s="8" t="s">
        <v>8820</v>
      </c>
      <c r="AI2059" s="55"/>
    </row>
    <row r="2060" spans="2:35" ht="21" customHeight="1" outlineLevel="3" x14ac:dyDescent="0.2">
      <c r="B2060" s="43">
        <v>1606</v>
      </c>
      <c r="C2060" s="8" t="s">
        <v>8821</v>
      </c>
      <c r="D2060" s="8" t="s">
        <v>8822</v>
      </c>
      <c r="E2060" s="9" t="s">
        <v>8823</v>
      </c>
      <c r="F2060" s="16"/>
      <c r="G2060" s="17" t="s">
        <v>8824</v>
      </c>
      <c r="H2060" s="18">
        <v>5</v>
      </c>
      <c r="I2060" s="19" t="s">
        <v>41</v>
      </c>
      <c r="J2060" s="19"/>
      <c r="K2060" s="19"/>
      <c r="L2060" s="7">
        <v>2</v>
      </c>
      <c r="M2060" s="21">
        <f>397*(1-P3/100)</f>
        <v>397</v>
      </c>
      <c r="N2060" s="15"/>
      <c r="O2060" s="19">
        <f>M2060*N2060</f>
        <v>0</v>
      </c>
      <c r="P2060" s="26">
        <f>0.325*N2060</f>
        <v>0</v>
      </c>
      <c r="Q2060" s="27">
        <f>0.00122*N2060</f>
        <v>0</v>
      </c>
      <c r="R2060" s="28" t="s">
        <v>81</v>
      </c>
      <c r="S2060" s="29" t="s">
        <v>8825</v>
      </c>
      <c r="T2060" s="29" t="s">
        <v>94</v>
      </c>
      <c r="U2060" s="8" t="s">
        <v>8575</v>
      </c>
      <c r="V2060" s="8" t="s">
        <v>8826</v>
      </c>
      <c r="W2060" s="8" t="s">
        <v>463</v>
      </c>
      <c r="X2060" s="8"/>
      <c r="Y2060" s="8"/>
      <c r="Z2060" s="8" t="str">
        <f>HYPERLINK("https://knigipp.ru/api/getInfo/image/462ee23a-8328-11f0-a284-00155d82e908")</f>
        <v>https://knigipp.ru/api/getInfo/image/462ee23a-8328-11f0-a284-00155d82e908</v>
      </c>
      <c r="AA2060" s="34">
        <v>272</v>
      </c>
      <c r="AB2060" s="8" t="s">
        <v>8311</v>
      </c>
      <c r="AC2060" s="8" t="s">
        <v>48</v>
      </c>
      <c r="AD2060" s="8"/>
      <c r="AE2060" s="8" t="s">
        <v>49</v>
      </c>
      <c r="AF2060" s="8"/>
      <c r="AG2060" s="8"/>
      <c r="AH2060" s="8" t="s">
        <v>8827</v>
      </c>
      <c r="AI2060" s="55"/>
    </row>
    <row r="2061" spans="2:35" ht="21" customHeight="1" outlineLevel="3" x14ac:dyDescent="0.2">
      <c r="B2061" s="43">
        <v>1607</v>
      </c>
      <c r="C2061" s="8" t="s">
        <v>8828</v>
      </c>
      <c r="D2061" s="8" t="s">
        <v>8829</v>
      </c>
      <c r="E2061" s="9" t="s">
        <v>8830</v>
      </c>
      <c r="F2061" s="16"/>
      <c r="G2061" s="17" t="s">
        <v>8831</v>
      </c>
      <c r="H2061" s="18">
        <v>10</v>
      </c>
      <c r="I2061" s="19" t="s">
        <v>41</v>
      </c>
      <c r="J2061" s="19"/>
      <c r="K2061" s="19"/>
      <c r="L2061" s="7">
        <v>2</v>
      </c>
      <c r="M2061" s="21">
        <f>397*(1-P3/100)</f>
        <v>397</v>
      </c>
      <c r="N2061" s="15"/>
      <c r="O2061" s="19">
        <f>M2061*N2061</f>
        <v>0</v>
      </c>
      <c r="P2061" s="26">
        <f>0.208*N2061</f>
        <v>0</v>
      </c>
      <c r="Q2061" s="27">
        <f>0.00056*N2061</f>
        <v>0</v>
      </c>
      <c r="R2061" s="28" t="s">
        <v>81</v>
      </c>
      <c r="S2061" s="29" t="s">
        <v>8832</v>
      </c>
      <c r="T2061" s="29" t="s">
        <v>94</v>
      </c>
      <c r="U2061" s="8" t="s">
        <v>8833</v>
      </c>
      <c r="V2061" s="8" t="s">
        <v>8834</v>
      </c>
      <c r="W2061" s="8" t="s">
        <v>463</v>
      </c>
      <c r="X2061" s="8"/>
      <c r="Y2061" s="8"/>
      <c r="Z2061" s="8" t="str">
        <f>HYPERLINK("https://knigipp.ru/api/getInfo/image/47825656-8fd3-11f0-a284-00155d82e908")</f>
        <v>https://knigipp.ru/api/getInfo/image/47825656-8fd3-11f0-a284-00155d82e908</v>
      </c>
      <c r="AA2061" s="34">
        <v>256</v>
      </c>
      <c r="AB2061" s="8" t="s">
        <v>8311</v>
      </c>
      <c r="AC2061" s="8" t="s">
        <v>48</v>
      </c>
      <c r="AD2061" s="8"/>
      <c r="AE2061" s="8" t="s">
        <v>49</v>
      </c>
      <c r="AF2061" s="8"/>
      <c r="AG2061" s="8"/>
      <c r="AH2061" s="8" t="s">
        <v>8835</v>
      </c>
      <c r="AI2061" s="55"/>
    </row>
    <row r="2062" spans="2:35" ht="22.95" customHeight="1" outlineLevel="2" x14ac:dyDescent="0.2">
      <c r="B2062" s="73" t="s">
        <v>8836</v>
      </c>
      <c r="C2062" s="73"/>
      <c r="D2062" s="73"/>
    </row>
    <row r="2063" spans="2:35" ht="21" customHeight="1" outlineLevel="3" x14ac:dyDescent="0.2">
      <c r="B2063" s="42">
        <v>1608</v>
      </c>
      <c r="C2063" s="5" t="s">
        <v>8837</v>
      </c>
      <c r="D2063" s="5" t="s">
        <v>8838</v>
      </c>
      <c r="E2063" s="6" t="s">
        <v>8839</v>
      </c>
      <c r="F2063" s="10"/>
      <c r="G2063" s="11" t="s">
        <v>8840</v>
      </c>
      <c r="H2063" s="12">
        <v>20</v>
      </c>
      <c r="I2063" s="13" t="s">
        <v>41</v>
      </c>
      <c r="J2063" s="13"/>
      <c r="K2063" s="13"/>
      <c r="L2063" s="4">
        <v>2</v>
      </c>
      <c r="M2063" s="14">
        <f>447*(1-P3/100)</f>
        <v>447</v>
      </c>
      <c r="N2063" s="15"/>
      <c r="O2063" s="13">
        <f>M2063*N2063</f>
        <v>0</v>
      </c>
      <c r="P2063" s="22">
        <f>0.214*N2063</f>
        <v>0</v>
      </c>
      <c r="Q2063" s="23">
        <f>0.00041*N2063</f>
        <v>0</v>
      </c>
      <c r="R2063" s="24"/>
      <c r="S2063" s="25" t="s">
        <v>8841</v>
      </c>
      <c r="T2063" s="25" t="s">
        <v>43</v>
      </c>
      <c r="U2063" s="5" t="s">
        <v>8842</v>
      </c>
      <c r="V2063" s="5" t="s">
        <v>8843</v>
      </c>
      <c r="W2063" s="5" t="s">
        <v>46</v>
      </c>
      <c r="X2063" s="5"/>
      <c r="Y2063" s="5"/>
      <c r="Z2063" s="5" t="str">
        <f>HYPERLINK("https://knigipp.ru/api/getInfo/image/35c7d7dc-f5c9-11ef-a274-00155d82e908")</f>
        <v>https://knigipp.ru/api/getInfo/image/35c7d7dc-f5c9-11ef-a274-00155d82e908</v>
      </c>
      <c r="AA2063" s="33">
        <v>96</v>
      </c>
      <c r="AB2063" s="5" t="s">
        <v>598</v>
      </c>
      <c r="AC2063" s="5" t="s">
        <v>86</v>
      </c>
      <c r="AD2063" s="5"/>
      <c r="AE2063" s="5" t="s">
        <v>49</v>
      </c>
      <c r="AF2063" s="5"/>
      <c r="AG2063" s="5"/>
      <c r="AH2063" s="5" t="s">
        <v>8844</v>
      </c>
    </row>
    <row r="2064" spans="2:35" ht="21" customHeight="1" outlineLevel="3" x14ac:dyDescent="0.2">
      <c r="B2064" s="42">
        <v>1609</v>
      </c>
      <c r="C2064" s="5" t="s">
        <v>8845</v>
      </c>
      <c r="D2064" s="5" t="s">
        <v>8846</v>
      </c>
      <c r="E2064" s="6" t="s">
        <v>8847</v>
      </c>
      <c r="F2064" s="10"/>
      <c r="G2064" s="11" t="s">
        <v>8848</v>
      </c>
      <c r="H2064" s="12">
        <v>20</v>
      </c>
      <c r="I2064" s="13" t="s">
        <v>41</v>
      </c>
      <c r="J2064" s="13"/>
      <c r="K2064" s="13"/>
      <c r="L2064" s="4">
        <v>2</v>
      </c>
      <c r="M2064" s="14">
        <f>497*(1-P3/100)</f>
        <v>497</v>
      </c>
      <c r="N2064" s="15"/>
      <c r="O2064" s="13">
        <f>M2064*N2064</f>
        <v>0</v>
      </c>
      <c r="P2064" s="22">
        <f>0.299*N2064</f>
        <v>0</v>
      </c>
      <c r="Q2064" s="23">
        <f>0.00034*N2064</f>
        <v>0</v>
      </c>
      <c r="R2064" s="24"/>
      <c r="S2064" s="25" t="s">
        <v>8849</v>
      </c>
      <c r="T2064" s="25" t="s">
        <v>43</v>
      </c>
      <c r="U2064" s="5" t="s">
        <v>8850</v>
      </c>
      <c r="V2064" s="5" t="s">
        <v>8851</v>
      </c>
      <c r="W2064" s="5" t="s">
        <v>2612</v>
      </c>
      <c r="X2064" s="5"/>
      <c r="Y2064" s="5"/>
      <c r="Z2064" s="5" t="str">
        <f>HYPERLINK("https://knigipp.ru/api/getInfo/image/88c3cbf0-3d5a-11f0-a27c-00155d82e908")</f>
        <v>https://knigipp.ru/api/getInfo/image/88c3cbf0-3d5a-11f0-a27c-00155d82e908</v>
      </c>
      <c r="AA2064" s="33">
        <v>160</v>
      </c>
      <c r="AB2064" s="5" t="s">
        <v>598</v>
      </c>
      <c r="AC2064" s="5" t="s">
        <v>86</v>
      </c>
      <c r="AD2064" s="5"/>
      <c r="AE2064" s="5" t="s">
        <v>49</v>
      </c>
      <c r="AF2064" s="5"/>
      <c r="AG2064" s="5"/>
      <c r="AH2064" s="5" t="s">
        <v>8852</v>
      </c>
    </row>
    <row r="2065" spans="2:35" ht="21" customHeight="1" outlineLevel="3" x14ac:dyDescent="0.2">
      <c r="B2065" s="42">
        <v>1610</v>
      </c>
      <c r="C2065" s="5" t="s">
        <v>8853</v>
      </c>
      <c r="D2065" s="5" t="s">
        <v>8854</v>
      </c>
      <c r="E2065" s="6" t="s">
        <v>8855</v>
      </c>
      <c r="F2065" s="10"/>
      <c r="G2065" s="11" t="s">
        <v>8856</v>
      </c>
      <c r="H2065" s="12">
        <v>20</v>
      </c>
      <c r="I2065" s="13" t="s">
        <v>41</v>
      </c>
      <c r="J2065" s="13"/>
      <c r="K2065" s="13"/>
      <c r="L2065" s="4">
        <v>2</v>
      </c>
      <c r="M2065" s="14">
        <f>477*(1-P3/100)</f>
        <v>477</v>
      </c>
      <c r="N2065" s="15"/>
      <c r="O2065" s="13">
        <f>M2065*N2065</f>
        <v>0</v>
      </c>
      <c r="P2065" s="32">
        <f>0.27*N2065</f>
        <v>0</v>
      </c>
      <c r="Q2065" s="23">
        <f>0.00031*N2065</f>
        <v>0</v>
      </c>
      <c r="R2065" s="24"/>
      <c r="S2065" s="25" t="s">
        <v>8857</v>
      </c>
      <c r="T2065" s="25" t="s">
        <v>43</v>
      </c>
      <c r="U2065" s="5" t="s">
        <v>8858</v>
      </c>
      <c r="V2065" s="5" t="s">
        <v>8859</v>
      </c>
      <c r="W2065" s="5" t="s">
        <v>2612</v>
      </c>
      <c r="X2065" s="5"/>
      <c r="Y2065" s="5"/>
      <c r="Z2065" s="5" t="str">
        <f>HYPERLINK("https://knigipp.ru/api/getInfo/image/5999b1c2-0e39-11f0-a279-00155d82e908")</f>
        <v>https://knigipp.ru/api/getInfo/image/5999b1c2-0e39-11f0-a279-00155d82e908</v>
      </c>
      <c r="AA2065" s="33">
        <v>128</v>
      </c>
      <c r="AB2065" s="5" t="s">
        <v>598</v>
      </c>
      <c r="AC2065" s="5" t="s">
        <v>86</v>
      </c>
      <c r="AD2065" s="5"/>
      <c r="AE2065" s="5" t="s">
        <v>49</v>
      </c>
      <c r="AF2065" s="5"/>
      <c r="AG2065" s="5"/>
      <c r="AH2065" s="5" t="s">
        <v>1996</v>
      </c>
    </row>
    <row r="2066" spans="2:35" ht="21" customHeight="1" outlineLevel="3" x14ac:dyDescent="0.2">
      <c r="B2066" s="42">
        <v>1611</v>
      </c>
      <c r="C2066" s="5" t="s">
        <v>8860</v>
      </c>
      <c r="D2066" s="5" t="s">
        <v>8861</v>
      </c>
      <c r="E2066" s="6" t="s">
        <v>8862</v>
      </c>
      <c r="F2066" s="10"/>
      <c r="G2066" s="11" t="s">
        <v>8863</v>
      </c>
      <c r="H2066" s="12">
        <v>20</v>
      </c>
      <c r="I2066" s="13" t="s">
        <v>41</v>
      </c>
      <c r="J2066" s="13"/>
      <c r="K2066" s="13"/>
      <c r="L2066" s="4">
        <v>2</v>
      </c>
      <c r="M2066" s="14">
        <f>477*(1-P3/100)</f>
        <v>477</v>
      </c>
      <c r="N2066" s="15"/>
      <c r="O2066" s="13">
        <f>M2066*N2066</f>
        <v>0</v>
      </c>
      <c r="P2066" s="22">
        <f>0.269*N2066</f>
        <v>0</v>
      </c>
      <c r="Q2066" s="30">
        <f>0.0005*N2066</f>
        <v>0</v>
      </c>
      <c r="R2066" s="24"/>
      <c r="S2066" s="25" t="s">
        <v>8864</v>
      </c>
      <c r="T2066" s="25" t="s">
        <v>43</v>
      </c>
      <c r="U2066" s="5" t="s">
        <v>8865</v>
      </c>
      <c r="V2066" s="5" t="s">
        <v>8866</v>
      </c>
      <c r="W2066" s="5" t="s">
        <v>2612</v>
      </c>
      <c r="X2066" s="5"/>
      <c r="Y2066" s="5"/>
      <c r="Z2066" s="5" t="str">
        <f>HYPERLINK("https://knigipp.ru/api/getInfo/image/8d07966f-0e39-11f0-a279-00155d82e908")</f>
        <v>https://knigipp.ru/api/getInfo/image/8d07966f-0e39-11f0-a279-00155d82e908</v>
      </c>
      <c r="AA2066" s="33">
        <v>144</v>
      </c>
      <c r="AB2066" s="5" t="s">
        <v>598</v>
      </c>
      <c r="AC2066" s="5" t="s">
        <v>86</v>
      </c>
      <c r="AD2066" s="5"/>
      <c r="AE2066" s="5" t="s">
        <v>49</v>
      </c>
      <c r="AF2066" s="5"/>
      <c r="AG2066" s="5"/>
      <c r="AH2066" s="5" t="s">
        <v>1996</v>
      </c>
    </row>
    <row r="2067" spans="2:35" ht="21" customHeight="1" outlineLevel="3" x14ac:dyDescent="0.2">
      <c r="B2067" s="42">
        <v>1612</v>
      </c>
      <c r="C2067" s="5" t="s">
        <v>8867</v>
      </c>
      <c r="D2067" s="5" t="s">
        <v>8868</v>
      </c>
      <c r="E2067" s="6" t="s">
        <v>8869</v>
      </c>
      <c r="F2067" s="10"/>
      <c r="G2067" s="11" t="s">
        <v>8870</v>
      </c>
      <c r="H2067" s="12">
        <v>20</v>
      </c>
      <c r="I2067" s="13" t="s">
        <v>41</v>
      </c>
      <c r="J2067" s="13"/>
      <c r="K2067" s="13"/>
      <c r="L2067" s="4">
        <v>2</v>
      </c>
      <c r="M2067" s="14">
        <f>477*(1-P3/100)</f>
        <v>477</v>
      </c>
      <c r="N2067" s="15"/>
      <c r="O2067" s="13">
        <f>M2067*N2067</f>
        <v>0</v>
      </c>
      <c r="P2067" s="22">
        <f>0.253*N2067</f>
        <v>0</v>
      </c>
      <c r="Q2067" s="23">
        <f>0.00044*N2067</f>
        <v>0</v>
      </c>
      <c r="R2067" s="24"/>
      <c r="S2067" s="25" t="s">
        <v>8871</v>
      </c>
      <c r="T2067" s="25" t="s">
        <v>43</v>
      </c>
      <c r="U2067" s="5" t="s">
        <v>8872</v>
      </c>
      <c r="V2067" s="5" t="s">
        <v>8873</v>
      </c>
      <c r="W2067" s="5" t="s">
        <v>46</v>
      </c>
      <c r="X2067" s="5"/>
      <c r="Y2067" s="5"/>
      <c r="Z2067" s="5" t="str">
        <f>HYPERLINK("https://knigipp.ru/api/getInfo/image/11b32fd0-ae4d-11ef-a267-00155d82e908")</f>
        <v>https://knigipp.ru/api/getInfo/image/11b32fd0-ae4d-11ef-a267-00155d82e908</v>
      </c>
      <c r="AA2067" s="33">
        <v>128</v>
      </c>
      <c r="AB2067" s="5" t="s">
        <v>598</v>
      </c>
      <c r="AC2067" s="5" t="s">
        <v>86</v>
      </c>
      <c r="AD2067" s="5"/>
      <c r="AE2067" s="5" t="s">
        <v>49</v>
      </c>
      <c r="AF2067" s="5"/>
      <c r="AG2067" s="5"/>
      <c r="AH2067" s="5" t="s">
        <v>8874</v>
      </c>
    </row>
    <row r="2068" spans="2:35" ht="22.95" customHeight="1" outlineLevel="2" x14ac:dyDescent="0.2">
      <c r="B2068" s="73" t="s">
        <v>8875</v>
      </c>
      <c r="C2068" s="73"/>
      <c r="D2068" s="73"/>
    </row>
    <row r="2069" spans="2:35" ht="21" customHeight="1" outlineLevel="3" x14ac:dyDescent="0.2">
      <c r="B2069" s="43">
        <v>1613</v>
      </c>
      <c r="C2069" s="8" t="s">
        <v>8876</v>
      </c>
      <c r="D2069" s="8" t="s">
        <v>8877</v>
      </c>
      <c r="E2069" s="9" t="s">
        <v>8878</v>
      </c>
      <c r="F2069" s="16"/>
      <c r="G2069" s="17" t="s">
        <v>8879</v>
      </c>
      <c r="H2069" s="18">
        <v>20</v>
      </c>
      <c r="I2069" s="19" t="s">
        <v>41</v>
      </c>
      <c r="J2069" s="19"/>
      <c r="K2069" s="19"/>
      <c r="L2069" s="7">
        <v>3</v>
      </c>
      <c r="M2069" s="21">
        <f>249*(1-P3/100)</f>
        <v>249</v>
      </c>
      <c r="N2069" s="15"/>
      <c r="O2069" s="19">
        <f t="shared" ref="O2069:O2076" si="90">M2069*N2069</f>
        <v>0</v>
      </c>
      <c r="P2069" s="26">
        <f>0.146*N2069</f>
        <v>0</v>
      </c>
      <c r="Q2069" s="27">
        <f>0.00014*N2069</f>
        <v>0</v>
      </c>
      <c r="R2069" s="28" t="s">
        <v>81</v>
      </c>
      <c r="S2069" s="29" t="s">
        <v>8880</v>
      </c>
      <c r="T2069" s="29" t="s">
        <v>43</v>
      </c>
      <c r="U2069" s="8" t="s">
        <v>657</v>
      </c>
      <c r="V2069" s="8" t="s">
        <v>8881</v>
      </c>
      <c r="W2069" s="8" t="s">
        <v>46</v>
      </c>
      <c r="X2069" s="8"/>
      <c r="Y2069" s="8"/>
      <c r="Z2069" s="8" t="str">
        <f>HYPERLINK("https://knigipp.ru/api/getInfo/image/6af15a12-9ea3-11f0-a285-00155d82e908")</f>
        <v>https://knigipp.ru/api/getInfo/image/6af15a12-9ea3-11f0-a285-00155d82e908</v>
      </c>
      <c r="AA2069" s="34">
        <v>24</v>
      </c>
      <c r="AB2069" s="8" t="s">
        <v>47</v>
      </c>
      <c r="AC2069" s="8" t="s">
        <v>86</v>
      </c>
      <c r="AD2069" s="8"/>
      <c r="AE2069" s="8" t="s">
        <v>49</v>
      </c>
      <c r="AF2069" s="8"/>
      <c r="AG2069" s="8"/>
      <c r="AH2069" s="8" t="s">
        <v>8882</v>
      </c>
      <c r="AI2069" s="55"/>
    </row>
    <row r="2070" spans="2:35" ht="21" customHeight="1" outlineLevel="3" x14ac:dyDescent="0.2">
      <c r="B2070" s="43">
        <v>1614</v>
      </c>
      <c r="C2070" s="8" t="s">
        <v>8883</v>
      </c>
      <c r="D2070" s="8" t="s">
        <v>8884</v>
      </c>
      <c r="E2070" s="9" t="s">
        <v>8885</v>
      </c>
      <c r="F2070" s="16"/>
      <c r="G2070" s="17" t="s">
        <v>8886</v>
      </c>
      <c r="H2070" s="18">
        <v>20</v>
      </c>
      <c r="I2070" s="19" t="s">
        <v>41</v>
      </c>
      <c r="J2070" s="19"/>
      <c r="K2070" s="19"/>
      <c r="L2070" s="7">
        <v>3</v>
      </c>
      <c r="M2070" s="21">
        <f>249*(1-P3/100)</f>
        <v>249</v>
      </c>
      <c r="N2070" s="15"/>
      <c r="O2070" s="19">
        <f t="shared" si="90"/>
        <v>0</v>
      </c>
      <c r="P2070" s="26">
        <f>0.146*N2070</f>
        <v>0</v>
      </c>
      <c r="Q2070" s="27">
        <f>0.00014*N2070</f>
        <v>0</v>
      </c>
      <c r="R2070" s="28" t="s">
        <v>81</v>
      </c>
      <c r="S2070" s="29" t="s">
        <v>8887</v>
      </c>
      <c r="T2070" s="29" t="s">
        <v>43</v>
      </c>
      <c r="U2070" s="8" t="s">
        <v>312</v>
      </c>
      <c r="V2070" s="8" t="s">
        <v>8888</v>
      </c>
      <c r="W2070" s="8" t="s">
        <v>46</v>
      </c>
      <c r="X2070" s="8"/>
      <c r="Y2070" s="8"/>
      <c r="Z2070" s="8" t="str">
        <f>HYPERLINK("https://knigipp.ru/api/getInfo/image/44d008d3-9ea3-11f0-a285-00155d82e908")</f>
        <v>https://knigipp.ru/api/getInfo/image/44d008d3-9ea3-11f0-a285-00155d82e908</v>
      </c>
      <c r="AA2070" s="34">
        <v>24</v>
      </c>
      <c r="AB2070" s="8" t="s">
        <v>47</v>
      </c>
      <c r="AC2070" s="8" t="s">
        <v>86</v>
      </c>
      <c r="AD2070" s="8"/>
      <c r="AE2070" s="8" t="s">
        <v>49</v>
      </c>
      <c r="AF2070" s="8"/>
      <c r="AG2070" s="8"/>
      <c r="AH2070" s="8" t="s">
        <v>8882</v>
      </c>
      <c r="AI2070" s="55"/>
    </row>
    <row r="2071" spans="2:35" ht="21" customHeight="1" outlineLevel="3" x14ac:dyDescent="0.2">
      <c r="B2071" s="43">
        <v>1615</v>
      </c>
      <c r="C2071" s="8" t="s">
        <v>8889</v>
      </c>
      <c r="D2071" s="8" t="s">
        <v>8890</v>
      </c>
      <c r="E2071" s="9" t="s">
        <v>8891</v>
      </c>
      <c r="F2071" s="16"/>
      <c r="G2071" s="17" t="s">
        <v>8892</v>
      </c>
      <c r="H2071" s="18">
        <v>20</v>
      </c>
      <c r="I2071" s="19" t="s">
        <v>41</v>
      </c>
      <c r="J2071" s="19"/>
      <c r="K2071" s="19"/>
      <c r="L2071" s="7">
        <v>3</v>
      </c>
      <c r="M2071" s="21">
        <f>249*(1-P3/100)</f>
        <v>249</v>
      </c>
      <c r="N2071" s="15"/>
      <c r="O2071" s="19">
        <f t="shared" si="90"/>
        <v>0</v>
      </c>
      <c r="P2071" s="26">
        <f>0.141*N2071</f>
        <v>0</v>
      </c>
      <c r="Q2071" s="27">
        <f>0.00027*N2071</f>
        <v>0</v>
      </c>
      <c r="R2071" s="28" t="s">
        <v>81</v>
      </c>
      <c r="S2071" s="29" t="s">
        <v>8893</v>
      </c>
      <c r="T2071" s="29" t="s">
        <v>43</v>
      </c>
      <c r="U2071" s="8" t="s">
        <v>513</v>
      </c>
      <c r="V2071" s="8" t="s">
        <v>8894</v>
      </c>
      <c r="W2071" s="8" t="s">
        <v>46</v>
      </c>
      <c r="X2071" s="8"/>
      <c r="Y2071" s="8"/>
      <c r="Z2071" s="8" t="str">
        <f>HYPERLINK("https://knigipp.ru/api/getInfo/image/1e5310ea-9ea3-11f0-a285-00155d82e908")</f>
        <v>https://knigipp.ru/api/getInfo/image/1e5310ea-9ea3-11f0-a285-00155d82e908</v>
      </c>
      <c r="AA2071" s="34">
        <v>24</v>
      </c>
      <c r="AB2071" s="8" t="s">
        <v>47</v>
      </c>
      <c r="AC2071" s="8" t="s">
        <v>86</v>
      </c>
      <c r="AD2071" s="8"/>
      <c r="AE2071" s="8" t="s">
        <v>49</v>
      </c>
      <c r="AF2071" s="8"/>
      <c r="AG2071" s="8"/>
      <c r="AH2071" s="8" t="s">
        <v>8882</v>
      </c>
      <c r="AI2071" s="55"/>
    </row>
    <row r="2072" spans="2:35" ht="21" customHeight="1" outlineLevel="3" x14ac:dyDescent="0.2">
      <c r="B2072" s="43">
        <v>1616</v>
      </c>
      <c r="C2072" s="8" t="s">
        <v>8895</v>
      </c>
      <c r="D2072" s="8" t="s">
        <v>8896</v>
      </c>
      <c r="E2072" s="9" t="s">
        <v>8897</v>
      </c>
      <c r="F2072" s="16"/>
      <c r="G2072" s="17" t="s">
        <v>8898</v>
      </c>
      <c r="H2072" s="18">
        <v>20</v>
      </c>
      <c r="I2072" s="19" t="s">
        <v>41</v>
      </c>
      <c r="J2072" s="19"/>
      <c r="K2072" s="19"/>
      <c r="L2072" s="7">
        <v>3</v>
      </c>
      <c r="M2072" s="21">
        <f>249*(1-P3/100)</f>
        <v>249</v>
      </c>
      <c r="N2072" s="15"/>
      <c r="O2072" s="19">
        <f t="shared" si="90"/>
        <v>0</v>
      </c>
      <c r="P2072" s="26">
        <f>0.141*N2072</f>
        <v>0</v>
      </c>
      <c r="Q2072" s="27">
        <f>0.00027*N2072</f>
        <v>0</v>
      </c>
      <c r="R2072" s="28" t="s">
        <v>81</v>
      </c>
      <c r="S2072" s="29" t="s">
        <v>8899</v>
      </c>
      <c r="T2072" s="29" t="s">
        <v>43</v>
      </c>
      <c r="U2072" s="8" t="s">
        <v>676</v>
      </c>
      <c r="V2072" s="8" t="s">
        <v>8900</v>
      </c>
      <c r="W2072" s="8" t="s">
        <v>46</v>
      </c>
      <c r="X2072" s="8"/>
      <c r="Y2072" s="8"/>
      <c r="Z2072" s="8" t="str">
        <f>HYPERLINK("https://knigipp.ru/api/getInfo/image/e3ae927b-9e09-11f0-a285-00155d82e908")</f>
        <v>https://knigipp.ru/api/getInfo/image/e3ae927b-9e09-11f0-a285-00155d82e908</v>
      </c>
      <c r="AA2072" s="34">
        <v>24</v>
      </c>
      <c r="AB2072" s="8" t="s">
        <v>47</v>
      </c>
      <c r="AC2072" s="8" t="s">
        <v>86</v>
      </c>
      <c r="AD2072" s="8"/>
      <c r="AE2072" s="8" t="s">
        <v>49</v>
      </c>
      <c r="AF2072" s="8"/>
      <c r="AG2072" s="8"/>
      <c r="AH2072" s="8" t="s">
        <v>8882</v>
      </c>
      <c r="AI2072" s="55"/>
    </row>
    <row r="2073" spans="2:35" ht="21" customHeight="1" outlineLevel="3" x14ac:dyDescent="0.2">
      <c r="B2073" s="43">
        <v>1617</v>
      </c>
      <c r="C2073" s="8" t="s">
        <v>8901</v>
      </c>
      <c r="D2073" s="8" t="s">
        <v>8902</v>
      </c>
      <c r="E2073" s="9" t="s">
        <v>8903</v>
      </c>
      <c r="F2073" s="16"/>
      <c r="G2073" s="17" t="s">
        <v>8904</v>
      </c>
      <c r="H2073" s="18">
        <v>20</v>
      </c>
      <c r="I2073" s="19" t="s">
        <v>41</v>
      </c>
      <c r="J2073" s="19"/>
      <c r="K2073" s="19"/>
      <c r="L2073" s="7">
        <v>3</v>
      </c>
      <c r="M2073" s="21">
        <f>249*(1-P3/100)</f>
        <v>249</v>
      </c>
      <c r="N2073" s="15"/>
      <c r="O2073" s="19">
        <f t="shared" si="90"/>
        <v>0</v>
      </c>
      <c r="P2073" s="26">
        <f>0.146*N2073</f>
        <v>0</v>
      </c>
      <c r="Q2073" s="27">
        <f>0.00014*N2073</f>
        <v>0</v>
      </c>
      <c r="R2073" s="28" t="s">
        <v>81</v>
      </c>
      <c r="S2073" s="29" t="s">
        <v>8905</v>
      </c>
      <c r="T2073" s="29" t="s">
        <v>43</v>
      </c>
      <c r="U2073" s="8" t="s">
        <v>312</v>
      </c>
      <c r="V2073" s="8" t="s">
        <v>8906</v>
      </c>
      <c r="W2073" s="8" t="s">
        <v>46</v>
      </c>
      <c r="X2073" s="8"/>
      <c r="Y2073" s="8"/>
      <c r="Z2073" s="8" t="str">
        <f>HYPERLINK("https://knigipp.ru/api/getInfo/image/e9fd755c-9ea2-11f0-a285-00155d82e908")</f>
        <v>https://knigipp.ru/api/getInfo/image/e9fd755c-9ea2-11f0-a285-00155d82e908</v>
      </c>
      <c r="AA2073" s="34">
        <v>24</v>
      </c>
      <c r="AB2073" s="8" t="s">
        <v>47</v>
      </c>
      <c r="AC2073" s="8" t="s">
        <v>86</v>
      </c>
      <c r="AD2073" s="8"/>
      <c r="AE2073" s="8" t="s">
        <v>49</v>
      </c>
      <c r="AF2073" s="8"/>
      <c r="AG2073" s="8"/>
      <c r="AH2073" s="8" t="s">
        <v>8882</v>
      </c>
      <c r="AI2073" s="55"/>
    </row>
    <row r="2074" spans="2:35" ht="21" customHeight="1" outlineLevel="3" x14ac:dyDescent="0.2">
      <c r="B2074" s="43">
        <v>1618</v>
      </c>
      <c r="C2074" s="8" t="s">
        <v>8907</v>
      </c>
      <c r="D2074" s="8" t="s">
        <v>8908</v>
      </c>
      <c r="E2074" s="9" t="s">
        <v>8909</v>
      </c>
      <c r="F2074" s="16"/>
      <c r="G2074" s="17" t="s">
        <v>8910</v>
      </c>
      <c r="H2074" s="18">
        <v>20</v>
      </c>
      <c r="I2074" s="19" t="s">
        <v>41</v>
      </c>
      <c r="J2074" s="19"/>
      <c r="K2074" s="19"/>
      <c r="L2074" s="7">
        <v>3</v>
      </c>
      <c r="M2074" s="21">
        <f>249*(1-P3/100)</f>
        <v>249</v>
      </c>
      <c r="N2074" s="15"/>
      <c r="O2074" s="19">
        <f t="shared" si="90"/>
        <v>0</v>
      </c>
      <c r="P2074" s="26">
        <f>0.142*N2074</f>
        <v>0</v>
      </c>
      <c r="Q2074" s="27">
        <f>0.00021*N2074</f>
        <v>0</v>
      </c>
      <c r="R2074" s="28" t="s">
        <v>81</v>
      </c>
      <c r="S2074" s="29" t="s">
        <v>8911</v>
      </c>
      <c r="T2074" s="29" t="s">
        <v>43</v>
      </c>
      <c r="U2074" s="8" t="s">
        <v>312</v>
      </c>
      <c r="V2074" s="8" t="s">
        <v>8912</v>
      </c>
      <c r="W2074" s="8" t="s">
        <v>46</v>
      </c>
      <c r="X2074" s="8"/>
      <c r="Y2074" s="8"/>
      <c r="Z2074" s="8" t="str">
        <f>HYPERLINK("https://knigipp.ru/api/getInfo/image/0be39175-9ea2-11f0-a285-00155d82e908")</f>
        <v>https://knigipp.ru/api/getInfo/image/0be39175-9ea2-11f0-a285-00155d82e908</v>
      </c>
      <c r="AA2074" s="34">
        <v>24</v>
      </c>
      <c r="AB2074" s="8" t="s">
        <v>47</v>
      </c>
      <c r="AC2074" s="8" t="s">
        <v>86</v>
      </c>
      <c r="AD2074" s="8"/>
      <c r="AE2074" s="8" t="s">
        <v>49</v>
      </c>
      <c r="AF2074" s="8"/>
      <c r="AG2074" s="8"/>
      <c r="AH2074" s="8" t="s">
        <v>8882</v>
      </c>
      <c r="AI2074" s="55"/>
    </row>
    <row r="2075" spans="2:35" ht="21" customHeight="1" outlineLevel="3" x14ac:dyDescent="0.2">
      <c r="B2075" s="43">
        <v>1619</v>
      </c>
      <c r="C2075" s="8" t="s">
        <v>8913</v>
      </c>
      <c r="D2075" s="8" t="s">
        <v>8914</v>
      </c>
      <c r="E2075" s="9" t="s">
        <v>8915</v>
      </c>
      <c r="F2075" s="16"/>
      <c r="G2075" s="17" t="s">
        <v>8916</v>
      </c>
      <c r="H2075" s="18">
        <v>20</v>
      </c>
      <c r="I2075" s="19" t="s">
        <v>41</v>
      </c>
      <c r="J2075" s="19"/>
      <c r="K2075" s="19"/>
      <c r="L2075" s="7">
        <v>3</v>
      </c>
      <c r="M2075" s="21">
        <f>249*(1-P3/100)</f>
        <v>249</v>
      </c>
      <c r="N2075" s="15"/>
      <c r="O2075" s="19">
        <f t="shared" si="90"/>
        <v>0</v>
      </c>
      <c r="P2075" s="26">
        <f>0.147*N2075</f>
        <v>0</v>
      </c>
      <c r="Q2075" s="27">
        <f>0.00014*N2075</f>
        <v>0</v>
      </c>
      <c r="R2075" s="28" t="s">
        <v>81</v>
      </c>
      <c r="S2075" s="29" t="s">
        <v>8917</v>
      </c>
      <c r="T2075" s="29" t="s">
        <v>43</v>
      </c>
      <c r="U2075" s="8" t="s">
        <v>312</v>
      </c>
      <c r="V2075" s="8" t="s">
        <v>8918</v>
      </c>
      <c r="W2075" s="8" t="s">
        <v>46</v>
      </c>
      <c r="X2075" s="8"/>
      <c r="Y2075" s="8"/>
      <c r="Z2075" s="8" t="str">
        <f>HYPERLINK("https://knigipp.ru/api/getInfo/image/4c53620d-9ea2-11f0-a285-00155d82e908")</f>
        <v>https://knigipp.ru/api/getInfo/image/4c53620d-9ea2-11f0-a285-00155d82e908</v>
      </c>
      <c r="AA2075" s="34">
        <v>24</v>
      </c>
      <c r="AB2075" s="8" t="s">
        <v>47</v>
      </c>
      <c r="AC2075" s="8" t="s">
        <v>86</v>
      </c>
      <c r="AD2075" s="8"/>
      <c r="AE2075" s="8" t="s">
        <v>49</v>
      </c>
      <c r="AF2075" s="8"/>
      <c r="AG2075" s="8"/>
      <c r="AH2075" s="8" t="s">
        <v>8882</v>
      </c>
      <c r="AI2075" s="55"/>
    </row>
    <row r="2076" spans="2:35" ht="21" customHeight="1" outlineLevel="3" x14ac:dyDescent="0.2">
      <c r="B2076" s="43">
        <v>1620</v>
      </c>
      <c r="C2076" s="8" t="s">
        <v>8919</v>
      </c>
      <c r="D2076" s="8" t="s">
        <v>8920</v>
      </c>
      <c r="E2076" s="9" t="s">
        <v>8921</v>
      </c>
      <c r="F2076" s="16"/>
      <c r="G2076" s="17" t="s">
        <v>8922</v>
      </c>
      <c r="H2076" s="18">
        <v>20</v>
      </c>
      <c r="I2076" s="19" t="s">
        <v>41</v>
      </c>
      <c r="J2076" s="19"/>
      <c r="K2076" s="19"/>
      <c r="L2076" s="7">
        <v>3</v>
      </c>
      <c r="M2076" s="21">
        <f>249*(1-P3/100)</f>
        <v>249</v>
      </c>
      <c r="N2076" s="15"/>
      <c r="O2076" s="19">
        <f t="shared" si="90"/>
        <v>0</v>
      </c>
      <c r="P2076" s="26">
        <f>0.146*N2076</f>
        <v>0</v>
      </c>
      <c r="Q2076" s="27">
        <f>0.00014*N2076</f>
        <v>0</v>
      </c>
      <c r="R2076" s="28" t="s">
        <v>81</v>
      </c>
      <c r="S2076" s="29" t="s">
        <v>8923</v>
      </c>
      <c r="T2076" s="29" t="s">
        <v>43</v>
      </c>
      <c r="U2076" s="8" t="s">
        <v>312</v>
      </c>
      <c r="V2076" s="8" t="s">
        <v>8924</v>
      </c>
      <c r="W2076" s="8" t="s">
        <v>46</v>
      </c>
      <c r="X2076" s="8"/>
      <c r="Y2076" s="8"/>
      <c r="Z2076" s="8" t="str">
        <f>HYPERLINK("https://knigipp.ru/api/getInfo/image/a78f41a7-9ea2-11f0-a285-00155d82e908")</f>
        <v>https://knigipp.ru/api/getInfo/image/a78f41a7-9ea2-11f0-a285-00155d82e908</v>
      </c>
      <c r="AA2076" s="34">
        <v>24</v>
      </c>
      <c r="AB2076" s="8" t="s">
        <v>47</v>
      </c>
      <c r="AC2076" s="8" t="s">
        <v>86</v>
      </c>
      <c r="AD2076" s="8"/>
      <c r="AE2076" s="8" t="s">
        <v>49</v>
      </c>
      <c r="AF2076" s="8"/>
      <c r="AG2076" s="8"/>
      <c r="AH2076" s="8" t="s">
        <v>8882</v>
      </c>
      <c r="AI2076" s="55"/>
    </row>
    <row r="2077" spans="2:35" ht="22.95" customHeight="1" outlineLevel="2" x14ac:dyDescent="0.2">
      <c r="B2077" s="73" t="s">
        <v>8925</v>
      </c>
      <c r="C2077" s="73"/>
      <c r="D2077" s="73"/>
    </row>
    <row r="2078" spans="2:35" ht="21" customHeight="1" outlineLevel="3" x14ac:dyDescent="0.2">
      <c r="B2078" s="42">
        <v>1621</v>
      </c>
      <c r="C2078" s="5" t="s">
        <v>8926</v>
      </c>
      <c r="D2078" s="5" t="s">
        <v>8927</v>
      </c>
      <c r="E2078" s="6" t="s">
        <v>8928</v>
      </c>
      <c r="F2078" s="10"/>
      <c r="G2078" s="11" t="s">
        <v>8929</v>
      </c>
      <c r="H2078" s="12">
        <v>20</v>
      </c>
      <c r="I2078" s="13" t="s">
        <v>41</v>
      </c>
      <c r="J2078" s="13"/>
      <c r="K2078" s="13"/>
      <c r="L2078" s="4">
        <v>3</v>
      </c>
      <c r="M2078" s="14">
        <f>199*(1-P3/100)</f>
        <v>199</v>
      </c>
      <c r="N2078" s="15"/>
      <c r="O2078" s="13">
        <f t="shared" ref="O2078:O2085" si="91">M2078*N2078</f>
        <v>0</v>
      </c>
      <c r="P2078" s="22">
        <f>0.173*N2078</f>
        <v>0</v>
      </c>
      <c r="Q2078" s="23">
        <f>0.00062*N2078</f>
        <v>0</v>
      </c>
      <c r="R2078" s="24"/>
      <c r="S2078" s="25" t="s">
        <v>8930</v>
      </c>
      <c r="T2078" s="25" t="s">
        <v>43</v>
      </c>
      <c r="U2078" s="5" t="s">
        <v>8381</v>
      </c>
      <c r="V2078" s="5" t="s">
        <v>8931</v>
      </c>
      <c r="W2078" s="5" t="s">
        <v>2612</v>
      </c>
      <c r="X2078" s="5"/>
      <c r="Y2078" s="5"/>
      <c r="Z2078" s="5" t="str">
        <f>HYPERLINK("https://knigipp.ru/api/getInfo/image/b07d3fd3-4d5a-11ee-a244-00155d82e902")</f>
        <v>https://knigipp.ru/api/getInfo/image/b07d3fd3-4d5a-11ee-a244-00155d82e902</v>
      </c>
      <c r="AA2078" s="33">
        <v>144</v>
      </c>
      <c r="AB2078" s="5" t="s">
        <v>47</v>
      </c>
      <c r="AC2078" s="5" t="s">
        <v>48</v>
      </c>
      <c r="AD2078" s="5"/>
      <c r="AE2078" s="5" t="s">
        <v>49</v>
      </c>
      <c r="AF2078" s="5"/>
      <c r="AG2078" s="5"/>
      <c r="AH2078" s="5" t="s">
        <v>50</v>
      </c>
    </row>
    <row r="2079" spans="2:35" ht="21" customHeight="1" outlineLevel="3" x14ac:dyDescent="0.2">
      <c r="B2079" s="42">
        <v>1622</v>
      </c>
      <c r="C2079" s="5" t="s">
        <v>8932</v>
      </c>
      <c r="D2079" s="5" t="s">
        <v>8933</v>
      </c>
      <c r="E2079" s="6" t="s">
        <v>8934</v>
      </c>
      <c r="F2079" s="10"/>
      <c r="G2079" s="11" t="s">
        <v>8473</v>
      </c>
      <c r="H2079" s="12">
        <v>20</v>
      </c>
      <c r="I2079" s="13" t="s">
        <v>41</v>
      </c>
      <c r="J2079" s="13"/>
      <c r="K2079" s="13"/>
      <c r="L2079" s="4">
        <v>3</v>
      </c>
      <c r="M2079" s="14">
        <f>189*(1-P3/100)</f>
        <v>189</v>
      </c>
      <c r="N2079" s="15"/>
      <c r="O2079" s="13">
        <f t="shared" si="91"/>
        <v>0</v>
      </c>
      <c r="P2079" s="22">
        <f>0.164*N2079</f>
        <v>0</v>
      </c>
      <c r="Q2079" s="23">
        <f>0.00057*N2079</f>
        <v>0</v>
      </c>
      <c r="R2079" s="24"/>
      <c r="S2079" s="25" t="s">
        <v>8935</v>
      </c>
      <c r="T2079" s="25" t="s">
        <v>43</v>
      </c>
      <c r="U2079" s="5" t="s">
        <v>8475</v>
      </c>
      <c r="V2079" s="5" t="s">
        <v>8936</v>
      </c>
      <c r="W2079" s="5" t="s">
        <v>2612</v>
      </c>
      <c r="X2079" s="5" t="s">
        <v>8937</v>
      </c>
      <c r="Y2079" s="5"/>
      <c r="Z2079" s="5" t="str">
        <f>HYPERLINK("https://knigipp.ru/api/getInfo/image/f2ebf1b2-4d5a-11ee-a244-00155d82e902")</f>
        <v>https://knigipp.ru/api/getInfo/image/f2ebf1b2-4d5a-11ee-a244-00155d82e902</v>
      </c>
      <c r="AA2079" s="33">
        <v>128</v>
      </c>
      <c r="AB2079" s="5" t="s">
        <v>47</v>
      </c>
      <c r="AC2079" s="5" t="s">
        <v>48</v>
      </c>
      <c r="AD2079" s="5"/>
      <c r="AE2079" s="5" t="s">
        <v>49</v>
      </c>
      <c r="AF2079" s="5"/>
      <c r="AG2079" s="5"/>
      <c r="AH2079" s="5" t="s">
        <v>50</v>
      </c>
    </row>
    <row r="2080" spans="2:35" ht="21" customHeight="1" outlineLevel="3" x14ac:dyDescent="0.2">
      <c r="B2080" s="42">
        <v>1623</v>
      </c>
      <c r="C2080" s="5" t="s">
        <v>8938</v>
      </c>
      <c r="D2080" s="5" t="s">
        <v>8939</v>
      </c>
      <c r="E2080" s="6" t="s">
        <v>8940</v>
      </c>
      <c r="F2080" s="10"/>
      <c r="G2080" s="11" t="s">
        <v>8941</v>
      </c>
      <c r="H2080" s="12">
        <v>20</v>
      </c>
      <c r="I2080" s="13" t="s">
        <v>41</v>
      </c>
      <c r="J2080" s="13"/>
      <c r="K2080" s="13"/>
      <c r="L2080" s="4">
        <v>3</v>
      </c>
      <c r="M2080" s="14">
        <f>189*(1-P3/100)</f>
        <v>189</v>
      </c>
      <c r="N2080" s="15"/>
      <c r="O2080" s="13">
        <f t="shared" si="91"/>
        <v>0</v>
      </c>
      <c r="P2080" s="13">
        <v>0</v>
      </c>
      <c r="Q2080" s="13">
        <v>0</v>
      </c>
      <c r="R2080" s="24"/>
      <c r="S2080" s="25" t="s">
        <v>8942</v>
      </c>
      <c r="T2080" s="25" t="s">
        <v>43</v>
      </c>
      <c r="U2080" s="5" t="s">
        <v>8943</v>
      </c>
      <c r="V2080" s="5" t="s">
        <v>8944</v>
      </c>
      <c r="W2080" s="5" t="s">
        <v>2731</v>
      </c>
      <c r="X2080" s="5" t="s">
        <v>8937</v>
      </c>
      <c r="Y2080" s="5"/>
      <c r="Z2080" s="5" t="str">
        <f>HYPERLINK("https://knigipp.ru/api/getInfo/image/624f5a1f-4d59-11ee-a244-00155d82e902")</f>
        <v>https://knigipp.ru/api/getInfo/image/624f5a1f-4d59-11ee-a244-00155d82e902</v>
      </c>
      <c r="AA2080" s="33">
        <v>128</v>
      </c>
      <c r="AB2080" s="5" t="s">
        <v>47</v>
      </c>
      <c r="AC2080" s="5" t="s">
        <v>48</v>
      </c>
      <c r="AD2080" s="5"/>
      <c r="AE2080" s="5" t="s">
        <v>49</v>
      </c>
      <c r="AF2080" s="5"/>
      <c r="AG2080" s="5"/>
      <c r="AH2080" s="5" t="s">
        <v>50</v>
      </c>
    </row>
    <row r="2081" spans="2:34" ht="21" customHeight="1" outlineLevel="3" x14ac:dyDescent="0.2">
      <c r="B2081" s="42">
        <v>1624</v>
      </c>
      <c r="C2081" s="5" t="s">
        <v>8945</v>
      </c>
      <c r="D2081" s="5" t="s">
        <v>8946</v>
      </c>
      <c r="E2081" s="6" t="s">
        <v>8947</v>
      </c>
      <c r="F2081" s="10"/>
      <c r="G2081" s="11" t="s">
        <v>8086</v>
      </c>
      <c r="H2081" s="12">
        <v>20</v>
      </c>
      <c r="I2081" s="13" t="s">
        <v>41</v>
      </c>
      <c r="J2081" s="13"/>
      <c r="K2081" s="13"/>
      <c r="L2081" s="4">
        <v>4</v>
      </c>
      <c r="M2081" s="14">
        <f>159*(1-P3/100)</f>
        <v>159</v>
      </c>
      <c r="N2081" s="15"/>
      <c r="O2081" s="13">
        <f t="shared" si="91"/>
        <v>0</v>
      </c>
      <c r="P2081" s="22">
        <f>0.128*N2081</f>
        <v>0</v>
      </c>
      <c r="Q2081" s="23">
        <f>0.00033*N2081</f>
        <v>0</v>
      </c>
      <c r="R2081" s="24"/>
      <c r="S2081" s="25" t="s">
        <v>8948</v>
      </c>
      <c r="T2081" s="25" t="s">
        <v>43</v>
      </c>
      <c r="U2081" s="5" t="s">
        <v>8080</v>
      </c>
      <c r="V2081" s="5" t="s">
        <v>8949</v>
      </c>
      <c r="W2081" s="5" t="s">
        <v>2731</v>
      </c>
      <c r="X2081" s="5"/>
      <c r="Y2081" s="5"/>
      <c r="Z2081" s="5" t="str">
        <f>HYPERLINK("https://knigipp.ru/api/getInfo/image/a1b35744-c0fb-11ee-a25a-00155d82e908")</f>
        <v>https://knigipp.ru/api/getInfo/image/a1b35744-c0fb-11ee-a25a-00155d82e908</v>
      </c>
      <c r="AA2081" s="33">
        <v>80</v>
      </c>
      <c r="AB2081" s="5" t="s">
        <v>47</v>
      </c>
      <c r="AC2081" s="5" t="s">
        <v>48</v>
      </c>
      <c r="AD2081" s="5"/>
      <c r="AE2081" s="5" t="s">
        <v>49</v>
      </c>
      <c r="AF2081" s="5"/>
      <c r="AG2081" s="5"/>
      <c r="AH2081" s="5" t="s">
        <v>50</v>
      </c>
    </row>
    <row r="2082" spans="2:34" ht="21" customHeight="1" outlineLevel="3" x14ac:dyDescent="0.2">
      <c r="B2082" s="42">
        <v>1625</v>
      </c>
      <c r="C2082" s="5" t="s">
        <v>8950</v>
      </c>
      <c r="D2082" s="5" t="s">
        <v>8951</v>
      </c>
      <c r="E2082" s="6" t="s">
        <v>8952</v>
      </c>
      <c r="F2082" s="10"/>
      <c r="G2082" s="11" t="s">
        <v>8070</v>
      </c>
      <c r="H2082" s="12">
        <v>20</v>
      </c>
      <c r="I2082" s="13" t="s">
        <v>41</v>
      </c>
      <c r="J2082" s="13"/>
      <c r="K2082" s="13"/>
      <c r="L2082" s="4">
        <v>3</v>
      </c>
      <c r="M2082" s="14">
        <f>199*(1-P3/100)</f>
        <v>199</v>
      </c>
      <c r="N2082" s="15"/>
      <c r="O2082" s="13">
        <f t="shared" si="91"/>
        <v>0</v>
      </c>
      <c r="P2082" s="22">
        <f>0.216*N2082</f>
        <v>0</v>
      </c>
      <c r="Q2082" s="23">
        <f>0.00056*N2082</f>
        <v>0</v>
      </c>
      <c r="R2082" s="24"/>
      <c r="S2082" s="25" t="s">
        <v>8953</v>
      </c>
      <c r="T2082" s="25" t="s">
        <v>43</v>
      </c>
      <c r="U2082" s="5" t="s">
        <v>8072</v>
      </c>
      <c r="V2082" s="5" t="s">
        <v>8954</v>
      </c>
      <c r="W2082" s="5" t="s">
        <v>2731</v>
      </c>
      <c r="X2082" s="5" t="s">
        <v>8937</v>
      </c>
      <c r="Y2082" s="5"/>
      <c r="Z2082" s="5" t="str">
        <f>HYPERLINK("https://knigipp.ru/api/getInfo/image/829caca1-4d5a-11ee-a244-00155d82e902")</f>
        <v>https://knigipp.ru/api/getInfo/image/829caca1-4d5a-11ee-a244-00155d82e902</v>
      </c>
      <c r="AA2082" s="33">
        <v>144</v>
      </c>
      <c r="AB2082" s="5" t="s">
        <v>47</v>
      </c>
      <c r="AC2082" s="5" t="s">
        <v>48</v>
      </c>
      <c r="AD2082" s="5"/>
      <c r="AE2082" s="5" t="s">
        <v>49</v>
      </c>
      <c r="AF2082" s="5"/>
      <c r="AG2082" s="5"/>
      <c r="AH2082" s="5" t="s">
        <v>50</v>
      </c>
    </row>
    <row r="2083" spans="2:34" ht="21" customHeight="1" outlineLevel="3" x14ac:dyDescent="0.2">
      <c r="B2083" s="42">
        <v>1626</v>
      </c>
      <c r="C2083" s="5" t="s">
        <v>8955</v>
      </c>
      <c r="D2083" s="5" t="s">
        <v>8956</v>
      </c>
      <c r="E2083" s="6" t="s">
        <v>8957</v>
      </c>
      <c r="F2083" s="10"/>
      <c r="G2083" s="11" t="s">
        <v>8958</v>
      </c>
      <c r="H2083" s="12">
        <v>20</v>
      </c>
      <c r="I2083" s="13" t="s">
        <v>41</v>
      </c>
      <c r="J2083" s="13"/>
      <c r="K2083" s="13"/>
      <c r="L2083" s="4">
        <v>4</v>
      </c>
      <c r="M2083" s="14">
        <f>159*(1-P3/100)</f>
        <v>159</v>
      </c>
      <c r="N2083" s="15"/>
      <c r="O2083" s="13">
        <f t="shared" si="91"/>
        <v>0</v>
      </c>
      <c r="P2083" s="13">
        <v>0</v>
      </c>
      <c r="Q2083" s="13">
        <v>0</v>
      </c>
      <c r="R2083" s="24"/>
      <c r="S2083" s="25" t="s">
        <v>8959</v>
      </c>
      <c r="T2083" s="25" t="s">
        <v>43</v>
      </c>
      <c r="U2083" s="5" t="s">
        <v>8007</v>
      </c>
      <c r="V2083" s="5" t="s">
        <v>8960</v>
      </c>
      <c r="W2083" s="5" t="s">
        <v>46</v>
      </c>
      <c r="X2083" s="5"/>
      <c r="Y2083" s="5"/>
      <c r="Z2083" s="5" t="str">
        <f>HYPERLINK("https://knigipp.ru/api/getInfo/image/ba87a6c2-3550-11ef-a261-00155d82e908")</f>
        <v>https://knigipp.ru/api/getInfo/image/ba87a6c2-3550-11ef-a261-00155d82e908</v>
      </c>
      <c r="AA2083" s="33">
        <v>80</v>
      </c>
      <c r="AB2083" s="5" t="s">
        <v>47</v>
      </c>
      <c r="AC2083" s="5" t="s">
        <v>48</v>
      </c>
      <c r="AD2083" s="5"/>
      <c r="AE2083" s="5" t="s">
        <v>49</v>
      </c>
      <c r="AF2083" s="5"/>
      <c r="AG2083" s="5"/>
      <c r="AH2083" s="5" t="s">
        <v>50</v>
      </c>
    </row>
    <row r="2084" spans="2:34" ht="21" customHeight="1" outlineLevel="3" x14ac:dyDescent="0.2">
      <c r="B2084" s="42">
        <v>1627</v>
      </c>
      <c r="C2084" s="5" t="s">
        <v>8961</v>
      </c>
      <c r="D2084" s="5" t="s">
        <v>8962</v>
      </c>
      <c r="E2084" s="6" t="s">
        <v>8963</v>
      </c>
      <c r="F2084" s="10"/>
      <c r="G2084" s="11" t="s">
        <v>8964</v>
      </c>
      <c r="H2084" s="12">
        <v>20</v>
      </c>
      <c r="I2084" s="13" t="s">
        <v>41</v>
      </c>
      <c r="J2084" s="13"/>
      <c r="K2084" s="13"/>
      <c r="L2084" s="4">
        <v>4</v>
      </c>
      <c r="M2084" s="14">
        <f>159*(1-P3/100)</f>
        <v>159</v>
      </c>
      <c r="N2084" s="15"/>
      <c r="O2084" s="13">
        <f t="shared" si="91"/>
        <v>0</v>
      </c>
      <c r="P2084" s="22">
        <f>0.222*N2084</f>
        <v>0</v>
      </c>
      <c r="Q2084" s="23">
        <f>0.00052*N2084</f>
        <v>0</v>
      </c>
      <c r="R2084" s="24"/>
      <c r="S2084" s="25" t="s">
        <v>8965</v>
      </c>
      <c r="T2084" s="25" t="s">
        <v>43</v>
      </c>
      <c r="U2084" s="5" t="s">
        <v>8491</v>
      </c>
      <c r="V2084" s="5" t="s">
        <v>8966</v>
      </c>
      <c r="W2084" s="5" t="s">
        <v>2731</v>
      </c>
      <c r="X2084" s="5"/>
      <c r="Y2084" s="5"/>
      <c r="Z2084" s="5" t="str">
        <f>HYPERLINK("https://knigipp.ru/api/getInfo/image/4ce13c06-c0fa-11ee-a25a-00155d82e908")</f>
        <v>https://knigipp.ru/api/getInfo/image/4ce13c06-c0fa-11ee-a25a-00155d82e908</v>
      </c>
      <c r="AA2084" s="33">
        <v>96</v>
      </c>
      <c r="AB2084" s="5" t="s">
        <v>47</v>
      </c>
      <c r="AC2084" s="5" t="s">
        <v>48</v>
      </c>
      <c r="AD2084" s="5"/>
      <c r="AE2084" s="5" t="s">
        <v>49</v>
      </c>
      <c r="AF2084" s="5"/>
      <c r="AG2084" s="5"/>
      <c r="AH2084" s="5" t="s">
        <v>50</v>
      </c>
    </row>
    <row r="2085" spans="2:34" ht="21" customHeight="1" outlineLevel="3" x14ac:dyDescent="0.2">
      <c r="B2085" s="42">
        <v>1628</v>
      </c>
      <c r="C2085" s="5" t="s">
        <v>8967</v>
      </c>
      <c r="D2085" s="5" t="s">
        <v>8968</v>
      </c>
      <c r="E2085" s="6" t="s">
        <v>8969</v>
      </c>
      <c r="F2085" s="10"/>
      <c r="G2085" s="11" t="s">
        <v>8970</v>
      </c>
      <c r="H2085" s="12">
        <v>20</v>
      </c>
      <c r="I2085" s="13" t="s">
        <v>41</v>
      </c>
      <c r="J2085" s="13"/>
      <c r="K2085" s="13"/>
      <c r="L2085" s="4">
        <v>4</v>
      </c>
      <c r="M2085" s="14">
        <f>159*(1-P3/100)</f>
        <v>159</v>
      </c>
      <c r="N2085" s="15"/>
      <c r="O2085" s="13">
        <f t="shared" si="91"/>
        <v>0</v>
      </c>
      <c r="P2085" s="22">
        <f>0.103*N2085</f>
        <v>0</v>
      </c>
      <c r="Q2085" s="23">
        <f>0.00045*N2085</f>
        <v>0</v>
      </c>
      <c r="R2085" s="24"/>
      <c r="S2085" s="25" t="s">
        <v>8971</v>
      </c>
      <c r="T2085" s="25" t="s">
        <v>43</v>
      </c>
      <c r="U2085" s="5" t="s">
        <v>8080</v>
      </c>
      <c r="V2085" s="5" t="s">
        <v>8972</v>
      </c>
      <c r="W2085" s="5"/>
      <c r="X2085" s="5"/>
      <c r="Y2085" s="5"/>
      <c r="Z2085" s="5" t="str">
        <f>HYPERLINK("https://knigipp.ru/api/getInfo/image/f7ea056f-3550-11ef-a261-00155d82e908")</f>
        <v>https://knigipp.ru/api/getInfo/image/f7ea056f-3550-11ef-a261-00155d82e908</v>
      </c>
      <c r="AA2085" s="33">
        <v>80</v>
      </c>
      <c r="AB2085" s="5" t="s">
        <v>47</v>
      </c>
      <c r="AC2085" s="5" t="s">
        <v>48</v>
      </c>
      <c r="AD2085" s="5"/>
      <c r="AE2085" s="5" t="s">
        <v>49</v>
      </c>
      <c r="AF2085" s="5"/>
      <c r="AG2085" s="5"/>
      <c r="AH2085" s="5" t="s">
        <v>50</v>
      </c>
    </row>
    <row r="2086" spans="2:34" ht="22.95" customHeight="1" outlineLevel="2" x14ac:dyDescent="0.2">
      <c r="B2086" s="73" t="s">
        <v>8973</v>
      </c>
      <c r="C2086" s="73"/>
      <c r="D2086" s="73"/>
    </row>
    <row r="2087" spans="2:34" ht="22.95" customHeight="1" outlineLevel="3" x14ac:dyDescent="0.2">
      <c r="B2087" s="74" t="s">
        <v>8974</v>
      </c>
      <c r="C2087" s="74"/>
      <c r="D2087" s="74"/>
    </row>
    <row r="2088" spans="2:34" ht="21" customHeight="1" outlineLevel="4" x14ac:dyDescent="0.2">
      <c r="B2088" s="42">
        <v>1629</v>
      </c>
      <c r="C2088" s="5" t="s">
        <v>8975</v>
      </c>
      <c r="D2088" s="5" t="s">
        <v>8976</v>
      </c>
      <c r="E2088" s="6" t="s">
        <v>8977</v>
      </c>
      <c r="F2088" s="10"/>
      <c r="G2088" s="11" t="s">
        <v>8978</v>
      </c>
      <c r="H2088" s="12">
        <v>10</v>
      </c>
      <c r="I2088" s="13" t="s">
        <v>41</v>
      </c>
      <c r="J2088" s="13"/>
      <c r="K2088" s="13"/>
      <c r="L2088" s="4">
        <v>2</v>
      </c>
      <c r="M2088" s="14">
        <f>437*(1-P3/100)</f>
        <v>437</v>
      </c>
      <c r="N2088" s="15"/>
      <c r="O2088" s="13">
        <f t="shared" ref="O2088:O2094" si="92">M2088*N2088</f>
        <v>0</v>
      </c>
      <c r="P2088" s="22">
        <f>0.223*N2088</f>
        <v>0</v>
      </c>
      <c r="Q2088" s="23">
        <f>0.00067*N2088</f>
        <v>0</v>
      </c>
      <c r="R2088" s="24"/>
      <c r="S2088" s="25" t="s">
        <v>8979</v>
      </c>
      <c r="T2088" s="25" t="s">
        <v>43</v>
      </c>
      <c r="U2088" s="5" t="s">
        <v>8980</v>
      </c>
      <c r="V2088" s="5" t="s">
        <v>8981</v>
      </c>
      <c r="W2088" s="5" t="s">
        <v>46</v>
      </c>
      <c r="X2088" s="5"/>
      <c r="Y2088" s="5"/>
      <c r="Z2088" s="5" t="str">
        <f>HYPERLINK("https://knigipp.ru/api/getInfo/image/f4384c2b-0940-11ef-a25d-00155d82e908")</f>
        <v>https://knigipp.ru/api/getInfo/image/f4384c2b-0940-11ef-a25d-00155d82e908</v>
      </c>
      <c r="AA2088" s="33">
        <v>128</v>
      </c>
      <c r="AB2088" s="5" t="s">
        <v>2984</v>
      </c>
      <c r="AC2088" s="5" t="s">
        <v>86</v>
      </c>
      <c r="AD2088" s="5"/>
      <c r="AE2088" s="5" t="s">
        <v>49</v>
      </c>
      <c r="AF2088" s="5"/>
      <c r="AG2088" s="5"/>
      <c r="AH2088" s="5" t="s">
        <v>8982</v>
      </c>
    </row>
    <row r="2089" spans="2:34" ht="21" customHeight="1" outlineLevel="4" x14ac:dyDescent="0.2">
      <c r="B2089" s="42">
        <v>1630</v>
      </c>
      <c r="C2089" s="5" t="s">
        <v>8983</v>
      </c>
      <c r="D2089" s="5" t="s">
        <v>8984</v>
      </c>
      <c r="E2089" s="6" t="s">
        <v>8985</v>
      </c>
      <c r="F2089" s="10"/>
      <c r="G2089" s="11" t="s">
        <v>8986</v>
      </c>
      <c r="H2089" s="12">
        <v>10</v>
      </c>
      <c r="I2089" s="13" t="s">
        <v>41</v>
      </c>
      <c r="J2089" s="13"/>
      <c r="K2089" s="13"/>
      <c r="L2089" s="4">
        <v>2</v>
      </c>
      <c r="M2089" s="14">
        <f>437*(1-P3/100)</f>
        <v>437</v>
      </c>
      <c r="N2089" s="15"/>
      <c r="O2089" s="13">
        <f t="shared" si="92"/>
        <v>0</v>
      </c>
      <c r="P2089" s="22">
        <f>0.225*N2089</f>
        <v>0</v>
      </c>
      <c r="Q2089" s="23">
        <f>0.00059*N2089</f>
        <v>0</v>
      </c>
      <c r="R2089" s="24"/>
      <c r="S2089" s="25" t="s">
        <v>8987</v>
      </c>
      <c r="T2089" s="25" t="s">
        <v>43</v>
      </c>
      <c r="U2089" s="5" t="s">
        <v>8988</v>
      </c>
      <c r="V2089" s="5" t="s">
        <v>8989</v>
      </c>
      <c r="W2089" s="5" t="s">
        <v>46</v>
      </c>
      <c r="X2089" s="5"/>
      <c r="Y2089" s="5"/>
      <c r="Z2089" s="5" t="str">
        <f>HYPERLINK("https://knigipp.ru/api/getInfo/image/104b64a1-7fc1-11ef-a265-00155d82e908")</f>
        <v>https://knigipp.ru/api/getInfo/image/104b64a1-7fc1-11ef-a265-00155d82e908</v>
      </c>
      <c r="AA2089" s="33">
        <v>128</v>
      </c>
      <c r="AB2089" s="5" t="s">
        <v>2984</v>
      </c>
      <c r="AC2089" s="5" t="s">
        <v>86</v>
      </c>
      <c r="AD2089" s="5"/>
      <c r="AE2089" s="5" t="s">
        <v>49</v>
      </c>
      <c r="AF2089" s="5"/>
      <c r="AG2089" s="5"/>
      <c r="AH2089" s="5" t="s">
        <v>8982</v>
      </c>
    </row>
    <row r="2090" spans="2:34" ht="21" customHeight="1" outlineLevel="4" x14ac:dyDescent="0.2">
      <c r="B2090" s="42">
        <v>1631</v>
      </c>
      <c r="C2090" s="5" t="s">
        <v>8990</v>
      </c>
      <c r="D2090" s="5" t="s">
        <v>8991</v>
      </c>
      <c r="E2090" s="6" t="s">
        <v>8992</v>
      </c>
      <c r="F2090" s="10"/>
      <c r="G2090" s="11" t="s">
        <v>8993</v>
      </c>
      <c r="H2090" s="12">
        <v>10</v>
      </c>
      <c r="I2090" s="13" t="s">
        <v>41</v>
      </c>
      <c r="J2090" s="13"/>
      <c r="K2090" s="13"/>
      <c r="L2090" s="4">
        <v>2</v>
      </c>
      <c r="M2090" s="14">
        <f>437*(1-P3/100)</f>
        <v>437</v>
      </c>
      <c r="N2090" s="15"/>
      <c r="O2090" s="13">
        <f t="shared" si="92"/>
        <v>0</v>
      </c>
      <c r="P2090" s="22">
        <f>0.223*N2090</f>
        <v>0</v>
      </c>
      <c r="Q2090" s="23">
        <f>0.00059*N2090</f>
        <v>0</v>
      </c>
      <c r="R2090" s="24"/>
      <c r="S2090" s="25" t="s">
        <v>8994</v>
      </c>
      <c r="T2090" s="25" t="s">
        <v>43</v>
      </c>
      <c r="U2090" s="5" t="s">
        <v>4057</v>
      </c>
      <c r="V2090" s="5" t="s">
        <v>8995</v>
      </c>
      <c r="W2090" s="5" t="s">
        <v>46</v>
      </c>
      <c r="X2090" s="5"/>
      <c r="Y2090" s="5"/>
      <c r="Z2090" s="5" t="str">
        <f>HYPERLINK("https://knigipp.ru/api/getInfo/image/1cb20955-0941-11ef-a25d-00155d82e908")</f>
        <v>https://knigipp.ru/api/getInfo/image/1cb20955-0941-11ef-a25d-00155d82e908</v>
      </c>
      <c r="AA2090" s="33">
        <v>128</v>
      </c>
      <c r="AB2090" s="5" t="s">
        <v>2984</v>
      </c>
      <c r="AC2090" s="5" t="s">
        <v>86</v>
      </c>
      <c r="AD2090" s="5"/>
      <c r="AE2090" s="5" t="s">
        <v>49</v>
      </c>
      <c r="AF2090" s="5"/>
      <c r="AG2090" s="5"/>
      <c r="AH2090" s="5" t="s">
        <v>8982</v>
      </c>
    </row>
    <row r="2091" spans="2:34" ht="21" customHeight="1" outlineLevel="4" x14ac:dyDescent="0.2">
      <c r="B2091" s="42">
        <v>1632</v>
      </c>
      <c r="C2091" s="5" t="s">
        <v>8996</v>
      </c>
      <c r="D2091" s="5" t="s">
        <v>8997</v>
      </c>
      <c r="E2091" s="6" t="s">
        <v>8998</v>
      </c>
      <c r="F2091" s="10"/>
      <c r="G2091" s="11" t="s">
        <v>8999</v>
      </c>
      <c r="H2091" s="12">
        <v>10</v>
      </c>
      <c r="I2091" s="13" t="s">
        <v>41</v>
      </c>
      <c r="J2091" s="13"/>
      <c r="K2091" s="13"/>
      <c r="L2091" s="4">
        <v>2</v>
      </c>
      <c r="M2091" s="14">
        <f>437*(1-P3/100)</f>
        <v>437</v>
      </c>
      <c r="N2091" s="15"/>
      <c r="O2091" s="13">
        <f t="shared" si="92"/>
        <v>0</v>
      </c>
      <c r="P2091" s="22">
        <f>0.234*N2091</f>
        <v>0</v>
      </c>
      <c r="Q2091" s="23">
        <f>0.00053*N2091</f>
        <v>0</v>
      </c>
      <c r="R2091" s="24"/>
      <c r="S2091" s="25" t="s">
        <v>9000</v>
      </c>
      <c r="T2091" s="25" t="s">
        <v>43</v>
      </c>
      <c r="U2091" s="5" t="s">
        <v>9001</v>
      </c>
      <c r="V2091" s="5" t="s">
        <v>9002</v>
      </c>
      <c r="W2091" s="5" t="s">
        <v>46</v>
      </c>
      <c r="X2091" s="5"/>
      <c r="Y2091" s="5"/>
      <c r="Z2091" s="5" t="str">
        <f>HYPERLINK("https://knigipp.ru/api/getInfo/image/40c70f22-1f4a-11ef-a25f-00155d82e908")</f>
        <v>https://knigipp.ru/api/getInfo/image/40c70f22-1f4a-11ef-a25f-00155d82e908</v>
      </c>
      <c r="AA2091" s="33">
        <v>128</v>
      </c>
      <c r="AB2091" s="5" t="s">
        <v>2984</v>
      </c>
      <c r="AC2091" s="5" t="s">
        <v>86</v>
      </c>
      <c r="AD2091" s="5"/>
      <c r="AE2091" s="5" t="s">
        <v>49</v>
      </c>
      <c r="AF2091" s="5"/>
      <c r="AG2091" s="5"/>
      <c r="AH2091" s="5" t="s">
        <v>8982</v>
      </c>
    </row>
    <row r="2092" spans="2:34" ht="21" customHeight="1" outlineLevel="4" x14ac:dyDescent="0.2">
      <c r="B2092" s="42">
        <v>1633</v>
      </c>
      <c r="C2092" s="5" t="s">
        <v>9003</v>
      </c>
      <c r="D2092" s="5" t="s">
        <v>9004</v>
      </c>
      <c r="E2092" s="6" t="s">
        <v>9005</v>
      </c>
      <c r="F2092" s="10"/>
      <c r="G2092" s="11" t="s">
        <v>9006</v>
      </c>
      <c r="H2092" s="12">
        <v>10</v>
      </c>
      <c r="I2092" s="13" t="s">
        <v>41</v>
      </c>
      <c r="J2092" s="13"/>
      <c r="K2092" s="13"/>
      <c r="L2092" s="4">
        <v>2</v>
      </c>
      <c r="M2092" s="14">
        <f>437*(1-P3/100)</f>
        <v>437</v>
      </c>
      <c r="N2092" s="15"/>
      <c r="O2092" s="13">
        <f t="shared" si="92"/>
        <v>0</v>
      </c>
      <c r="P2092" s="22">
        <f>0.234*N2092</f>
        <v>0</v>
      </c>
      <c r="Q2092" s="23">
        <f>0.00053*N2092</f>
        <v>0</v>
      </c>
      <c r="R2092" s="24"/>
      <c r="S2092" s="25" t="s">
        <v>9007</v>
      </c>
      <c r="T2092" s="25" t="s">
        <v>43</v>
      </c>
      <c r="U2092" s="5" t="s">
        <v>9008</v>
      </c>
      <c r="V2092" s="5" t="s">
        <v>9009</v>
      </c>
      <c r="W2092" s="5" t="s">
        <v>46</v>
      </c>
      <c r="X2092" s="5"/>
      <c r="Y2092" s="5"/>
      <c r="Z2092" s="5" t="str">
        <f>HYPERLINK("https://knigipp.ru/api/getInfo/image/3c9cb185-0941-11ef-a25d-00155d82e908")</f>
        <v>https://knigipp.ru/api/getInfo/image/3c9cb185-0941-11ef-a25d-00155d82e908</v>
      </c>
      <c r="AA2092" s="33">
        <v>128</v>
      </c>
      <c r="AB2092" s="5" t="s">
        <v>2984</v>
      </c>
      <c r="AC2092" s="5" t="s">
        <v>86</v>
      </c>
      <c r="AD2092" s="5"/>
      <c r="AE2092" s="5" t="s">
        <v>49</v>
      </c>
      <c r="AF2092" s="5"/>
      <c r="AG2092" s="5"/>
      <c r="AH2092" s="5" t="s">
        <v>8982</v>
      </c>
    </row>
    <row r="2093" spans="2:34" ht="21" customHeight="1" outlineLevel="4" x14ac:dyDescent="0.2">
      <c r="B2093" s="42">
        <v>1634</v>
      </c>
      <c r="C2093" s="5" t="s">
        <v>9010</v>
      </c>
      <c r="D2093" s="5" t="s">
        <v>9011</v>
      </c>
      <c r="E2093" s="6" t="s">
        <v>9012</v>
      </c>
      <c r="F2093" s="10"/>
      <c r="G2093" s="11" t="s">
        <v>9013</v>
      </c>
      <c r="H2093" s="12">
        <v>10</v>
      </c>
      <c r="I2093" s="13" t="s">
        <v>41</v>
      </c>
      <c r="J2093" s="13"/>
      <c r="K2093" s="13"/>
      <c r="L2093" s="4">
        <v>2</v>
      </c>
      <c r="M2093" s="14">
        <f>437*(1-P3/100)</f>
        <v>437</v>
      </c>
      <c r="N2093" s="15"/>
      <c r="O2093" s="13">
        <f t="shared" si="92"/>
        <v>0</v>
      </c>
      <c r="P2093" s="22">
        <f>0.223*N2093</f>
        <v>0</v>
      </c>
      <c r="Q2093" s="23">
        <f>0.00059*N2093</f>
        <v>0</v>
      </c>
      <c r="R2093" s="24"/>
      <c r="S2093" s="25" t="s">
        <v>9014</v>
      </c>
      <c r="T2093" s="25" t="s">
        <v>43</v>
      </c>
      <c r="U2093" s="5" t="s">
        <v>9015</v>
      </c>
      <c r="V2093" s="5" t="s">
        <v>9016</v>
      </c>
      <c r="W2093" s="5" t="s">
        <v>46</v>
      </c>
      <c r="X2093" s="5"/>
      <c r="Y2093" s="5"/>
      <c r="Z2093" s="5" t="str">
        <f>HYPERLINK("https://knigipp.ru/api/getInfo/image/b3be7d99-0940-11ef-a25d-00155d82e908")</f>
        <v>https://knigipp.ru/api/getInfo/image/b3be7d99-0940-11ef-a25d-00155d82e908</v>
      </c>
      <c r="AA2093" s="33">
        <v>128</v>
      </c>
      <c r="AB2093" s="5" t="s">
        <v>2984</v>
      </c>
      <c r="AC2093" s="5" t="s">
        <v>86</v>
      </c>
      <c r="AD2093" s="5"/>
      <c r="AE2093" s="5" t="s">
        <v>49</v>
      </c>
      <c r="AF2093" s="5"/>
      <c r="AG2093" s="5"/>
      <c r="AH2093" s="5" t="s">
        <v>8982</v>
      </c>
    </row>
    <row r="2094" spans="2:34" ht="21" customHeight="1" outlineLevel="4" x14ac:dyDescent="0.2">
      <c r="B2094" s="42">
        <v>1635</v>
      </c>
      <c r="C2094" s="5" t="s">
        <v>9017</v>
      </c>
      <c r="D2094" s="5" t="s">
        <v>9018</v>
      </c>
      <c r="E2094" s="6" t="s">
        <v>9019</v>
      </c>
      <c r="F2094" s="10"/>
      <c r="G2094" s="11" t="s">
        <v>9020</v>
      </c>
      <c r="H2094" s="12">
        <v>10</v>
      </c>
      <c r="I2094" s="13" t="s">
        <v>41</v>
      </c>
      <c r="J2094" s="13"/>
      <c r="K2094" s="13"/>
      <c r="L2094" s="4">
        <v>2</v>
      </c>
      <c r="M2094" s="14">
        <f>437*(1-P3/100)</f>
        <v>437</v>
      </c>
      <c r="N2094" s="15"/>
      <c r="O2094" s="13">
        <f t="shared" si="92"/>
        <v>0</v>
      </c>
      <c r="P2094" s="22">
        <f>0.222*N2094</f>
        <v>0</v>
      </c>
      <c r="Q2094" s="23">
        <f>0.00059*N2094</f>
        <v>0</v>
      </c>
      <c r="R2094" s="24"/>
      <c r="S2094" s="25" t="s">
        <v>9021</v>
      </c>
      <c r="T2094" s="25" t="s">
        <v>43</v>
      </c>
      <c r="U2094" s="5" t="s">
        <v>9022</v>
      </c>
      <c r="V2094" s="5" t="s">
        <v>9023</v>
      </c>
      <c r="W2094" s="5" t="s">
        <v>46</v>
      </c>
      <c r="X2094" s="5"/>
      <c r="Y2094" s="5"/>
      <c r="Z2094" s="5" t="str">
        <f>HYPERLINK("https://knigipp.ru/api/getInfo/image/d8c15069-7fc0-11ef-a265-00155d82e908")</f>
        <v>https://knigipp.ru/api/getInfo/image/d8c15069-7fc0-11ef-a265-00155d82e908</v>
      </c>
      <c r="AA2094" s="33">
        <v>128</v>
      </c>
      <c r="AB2094" s="5" t="s">
        <v>2984</v>
      </c>
      <c r="AC2094" s="5" t="s">
        <v>86</v>
      </c>
      <c r="AD2094" s="5"/>
      <c r="AE2094" s="5" t="s">
        <v>49</v>
      </c>
      <c r="AF2094" s="5"/>
      <c r="AG2094" s="5"/>
      <c r="AH2094" s="5" t="s">
        <v>8982</v>
      </c>
    </row>
    <row r="2095" spans="2:34" ht="22.95" customHeight="1" outlineLevel="3" x14ac:dyDescent="0.2">
      <c r="B2095" s="74" t="s">
        <v>9024</v>
      </c>
      <c r="C2095" s="74"/>
      <c r="D2095" s="74"/>
    </row>
    <row r="2096" spans="2:34" ht="21" customHeight="1" outlineLevel="4" x14ac:dyDescent="0.2">
      <c r="B2096" s="42">
        <v>1636</v>
      </c>
      <c r="C2096" s="5" t="s">
        <v>9025</v>
      </c>
      <c r="D2096" s="5" t="s">
        <v>9026</v>
      </c>
      <c r="E2096" s="6" t="s">
        <v>9027</v>
      </c>
      <c r="F2096" s="10"/>
      <c r="G2096" s="11" t="s">
        <v>9028</v>
      </c>
      <c r="H2096" s="12">
        <v>40</v>
      </c>
      <c r="I2096" s="13" t="s">
        <v>41</v>
      </c>
      <c r="J2096" s="13"/>
      <c r="K2096" s="13"/>
      <c r="L2096" s="4">
        <v>3</v>
      </c>
      <c r="M2096" s="14">
        <f>199*(1-P3/100)</f>
        <v>199</v>
      </c>
      <c r="N2096" s="15"/>
      <c r="O2096" s="13">
        <f>M2096*N2096</f>
        <v>0</v>
      </c>
      <c r="P2096" s="22">
        <f>0.154*N2096</f>
        <v>0</v>
      </c>
      <c r="Q2096" s="23">
        <f>0.00015*N2096</f>
        <v>0</v>
      </c>
      <c r="R2096" s="24"/>
      <c r="S2096" s="25" t="s">
        <v>9029</v>
      </c>
      <c r="T2096" s="25" t="s">
        <v>43</v>
      </c>
      <c r="U2096" s="5" t="s">
        <v>9030</v>
      </c>
      <c r="V2096" s="5" t="s">
        <v>9031</v>
      </c>
      <c r="W2096" s="5" t="s">
        <v>46</v>
      </c>
      <c r="X2096" s="5"/>
      <c r="Y2096" s="5"/>
      <c r="Z2096" s="5" t="str">
        <f>HYPERLINK("https://knigipp.ru/api/getInfo/image/31448d94-0e32-11f0-a279-00155d82e908")</f>
        <v>https://knigipp.ru/api/getInfo/image/31448d94-0e32-11f0-a279-00155d82e908</v>
      </c>
      <c r="AA2096" s="33">
        <v>32</v>
      </c>
      <c r="AB2096" s="5" t="s">
        <v>47</v>
      </c>
      <c r="AC2096" s="5" t="s">
        <v>86</v>
      </c>
      <c r="AD2096" s="5"/>
      <c r="AE2096" s="5" t="s">
        <v>49</v>
      </c>
      <c r="AF2096" s="5"/>
      <c r="AG2096" s="5"/>
      <c r="AH2096" s="5" t="s">
        <v>9032</v>
      </c>
    </row>
    <row r="2097" spans="2:34" ht="21" customHeight="1" outlineLevel="4" x14ac:dyDescent="0.2">
      <c r="B2097" s="42">
        <v>1637</v>
      </c>
      <c r="C2097" s="5" t="s">
        <v>9033</v>
      </c>
      <c r="D2097" s="5" t="s">
        <v>9034</v>
      </c>
      <c r="E2097" s="6" t="s">
        <v>9035</v>
      </c>
      <c r="F2097" s="10"/>
      <c r="G2097" s="11" t="s">
        <v>9028</v>
      </c>
      <c r="H2097" s="12">
        <v>40</v>
      </c>
      <c r="I2097" s="13" t="s">
        <v>41</v>
      </c>
      <c r="J2097" s="13"/>
      <c r="K2097" s="13"/>
      <c r="L2097" s="4">
        <v>3</v>
      </c>
      <c r="M2097" s="14">
        <f>199*(1-P3/100)</f>
        <v>199</v>
      </c>
      <c r="N2097" s="15"/>
      <c r="O2097" s="13">
        <f>M2097*N2097</f>
        <v>0</v>
      </c>
      <c r="P2097" s="22">
        <f>0.157*N2097</f>
        <v>0</v>
      </c>
      <c r="Q2097" s="23">
        <f>0.00015*N2097</f>
        <v>0</v>
      </c>
      <c r="R2097" s="24"/>
      <c r="S2097" s="25" t="s">
        <v>9036</v>
      </c>
      <c r="T2097" s="25" t="s">
        <v>43</v>
      </c>
      <c r="U2097" s="5" t="s">
        <v>9037</v>
      </c>
      <c r="V2097" s="5" t="s">
        <v>9038</v>
      </c>
      <c r="W2097" s="5" t="s">
        <v>46</v>
      </c>
      <c r="X2097" s="5"/>
      <c r="Y2097" s="5"/>
      <c r="Z2097" s="5" t="str">
        <f>HYPERLINK("https://knigipp.ru/api/getInfo/image/5a6dbb3c-0e32-11f0-a279-00155d82e908")</f>
        <v>https://knigipp.ru/api/getInfo/image/5a6dbb3c-0e32-11f0-a279-00155d82e908</v>
      </c>
      <c r="AA2097" s="33">
        <v>32</v>
      </c>
      <c r="AB2097" s="5" t="s">
        <v>47</v>
      </c>
      <c r="AC2097" s="5" t="s">
        <v>86</v>
      </c>
      <c r="AD2097" s="5"/>
      <c r="AE2097" s="5" t="s">
        <v>49</v>
      </c>
      <c r="AF2097" s="5"/>
      <c r="AG2097" s="5"/>
      <c r="AH2097" s="5" t="s">
        <v>9032</v>
      </c>
    </row>
    <row r="2098" spans="2:34" ht="21" customHeight="1" outlineLevel="4" x14ac:dyDescent="0.2">
      <c r="B2098" s="42">
        <v>1638</v>
      </c>
      <c r="C2098" s="5" t="s">
        <v>9039</v>
      </c>
      <c r="D2098" s="5" t="s">
        <v>9040</v>
      </c>
      <c r="E2098" s="6" t="s">
        <v>9041</v>
      </c>
      <c r="F2098" s="10"/>
      <c r="G2098" s="11" t="s">
        <v>9028</v>
      </c>
      <c r="H2098" s="12">
        <v>40</v>
      </c>
      <c r="I2098" s="13" t="s">
        <v>41</v>
      </c>
      <c r="J2098" s="13"/>
      <c r="K2098" s="13"/>
      <c r="L2098" s="4">
        <v>3</v>
      </c>
      <c r="M2098" s="14">
        <f>199*(1-P3/100)</f>
        <v>199</v>
      </c>
      <c r="N2098" s="15"/>
      <c r="O2098" s="13">
        <f>M2098*N2098</f>
        <v>0</v>
      </c>
      <c r="P2098" s="22">
        <f>0.143*N2098</f>
        <v>0</v>
      </c>
      <c r="Q2098" s="23">
        <f>0.00015*N2098</f>
        <v>0</v>
      </c>
      <c r="R2098" s="24"/>
      <c r="S2098" s="25" t="s">
        <v>9042</v>
      </c>
      <c r="T2098" s="25" t="s">
        <v>43</v>
      </c>
      <c r="U2098" s="5" t="s">
        <v>9043</v>
      </c>
      <c r="V2098" s="5" t="s">
        <v>9044</v>
      </c>
      <c r="W2098" s="5" t="s">
        <v>46</v>
      </c>
      <c r="X2098" s="5"/>
      <c r="Y2098" s="5"/>
      <c r="Z2098" s="5" t="str">
        <f>HYPERLINK("https://knigipp.ru/api/getInfo/image/95ae3bbd-0e32-11f0-a279-00155d82e908")</f>
        <v>https://knigipp.ru/api/getInfo/image/95ae3bbd-0e32-11f0-a279-00155d82e908</v>
      </c>
      <c r="AA2098" s="33">
        <v>32</v>
      </c>
      <c r="AB2098" s="5" t="s">
        <v>47</v>
      </c>
      <c r="AC2098" s="5" t="s">
        <v>86</v>
      </c>
      <c r="AD2098" s="5"/>
      <c r="AE2098" s="5" t="s">
        <v>49</v>
      </c>
      <c r="AF2098" s="5"/>
      <c r="AG2098" s="5"/>
      <c r="AH2098" s="5" t="s">
        <v>9032</v>
      </c>
    </row>
    <row r="2099" spans="2:34" ht="21" customHeight="1" outlineLevel="4" x14ac:dyDescent="0.2">
      <c r="B2099" s="42">
        <v>1639</v>
      </c>
      <c r="C2099" s="5" t="s">
        <v>9045</v>
      </c>
      <c r="D2099" s="5" t="s">
        <v>9046</v>
      </c>
      <c r="E2099" s="6" t="s">
        <v>9047</v>
      </c>
      <c r="F2099" s="10"/>
      <c r="G2099" s="11" t="s">
        <v>9028</v>
      </c>
      <c r="H2099" s="12">
        <v>40</v>
      </c>
      <c r="I2099" s="13" t="s">
        <v>41</v>
      </c>
      <c r="J2099" s="13"/>
      <c r="K2099" s="13"/>
      <c r="L2099" s="4">
        <v>3</v>
      </c>
      <c r="M2099" s="14">
        <f>199*(1-P3/100)</f>
        <v>199</v>
      </c>
      <c r="N2099" s="15"/>
      <c r="O2099" s="13">
        <f>M2099*N2099</f>
        <v>0</v>
      </c>
      <c r="P2099" s="22">
        <f>0.145*N2099</f>
        <v>0</v>
      </c>
      <c r="Q2099" s="23">
        <f>0.00036*N2099</f>
        <v>0</v>
      </c>
      <c r="R2099" s="24"/>
      <c r="S2099" s="25" t="s">
        <v>9048</v>
      </c>
      <c r="T2099" s="25" t="s">
        <v>43</v>
      </c>
      <c r="U2099" s="5" t="s">
        <v>9049</v>
      </c>
      <c r="V2099" s="5" t="s">
        <v>9050</v>
      </c>
      <c r="W2099" s="5" t="s">
        <v>46</v>
      </c>
      <c r="X2099" s="5"/>
      <c r="Y2099" s="5"/>
      <c r="Z2099" s="5" t="str">
        <f>HYPERLINK("https://knigipp.ru/api/getInfo/image/b740b441-0e32-11f0-a279-00155d82e908")</f>
        <v>https://knigipp.ru/api/getInfo/image/b740b441-0e32-11f0-a279-00155d82e908</v>
      </c>
      <c r="AA2099" s="33">
        <v>32</v>
      </c>
      <c r="AB2099" s="5" t="s">
        <v>47</v>
      </c>
      <c r="AC2099" s="5" t="s">
        <v>86</v>
      </c>
      <c r="AD2099" s="5"/>
      <c r="AE2099" s="5" t="s">
        <v>49</v>
      </c>
      <c r="AF2099" s="5"/>
      <c r="AG2099" s="5"/>
      <c r="AH2099" s="5" t="s">
        <v>9032</v>
      </c>
    </row>
    <row r="2100" spans="2:34" ht="22.95" customHeight="1" outlineLevel="3" x14ac:dyDescent="0.2">
      <c r="B2100" s="74" t="s">
        <v>9051</v>
      </c>
      <c r="C2100" s="74"/>
      <c r="D2100" s="74"/>
    </row>
    <row r="2101" spans="2:34" ht="21" customHeight="1" outlineLevel="4" x14ac:dyDescent="0.2">
      <c r="B2101" s="42">
        <v>1640</v>
      </c>
      <c r="C2101" s="5" t="s">
        <v>9052</v>
      </c>
      <c r="D2101" s="5" t="s">
        <v>9053</v>
      </c>
      <c r="E2101" s="6" t="s">
        <v>9054</v>
      </c>
      <c r="F2101" s="10"/>
      <c r="G2101" s="11" t="s">
        <v>9055</v>
      </c>
      <c r="H2101" s="12">
        <v>40</v>
      </c>
      <c r="I2101" s="13" t="s">
        <v>41</v>
      </c>
      <c r="J2101" s="13"/>
      <c r="K2101" s="13"/>
      <c r="L2101" s="4">
        <v>3</v>
      </c>
      <c r="M2101" s="14">
        <f>199*(1-P3/100)</f>
        <v>199</v>
      </c>
      <c r="N2101" s="15"/>
      <c r="O2101" s="13">
        <f t="shared" ref="O2101:O2110" si="93">M2101*N2101</f>
        <v>0</v>
      </c>
      <c r="P2101" s="22">
        <f>0.161*N2101</f>
        <v>0</v>
      </c>
      <c r="Q2101" s="23">
        <f>0.00037*N2101</f>
        <v>0</v>
      </c>
      <c r="R2101" s="24"/>
      <c r="S2101" s="25" t="s">
        <v>9056</v>
      </c>
      <c r="T2101" s="25" t="s">
        <v>43</v>
      </c>
      <c r="U2101" s="5"/>
      <c r="V2101" s="5"/>
      <c r="W2101" s="5" t="s">
        <v>46</v>
      </c>
      <c r="X2101" s="5" t="s">
        <v>9057</v>
      </c>
      <c r="Y2101" s="5"/>
      <c r="Z2101" s="5" t="str">
        <f>HYPERLINK("https://knigipp.ru/api/getInfo/image/dfbdcb78-0365-11e4-98b8-5cf3fc4a2490")</f>
        <v>https://knigipp.ru/api/getInfo/image/dfbdcb78-0365-11e4-98b8-5cf3fc4a2490</v>
      </c>
      <c r="AA2101" s="33">
        <v>32</v>
      </c>
      <c r="AB2101" s="5"/>
      <c r="AC2101" s="5" t="s">
        <v>86</v>
      </c>
      <c r="AD2101" s="5"/>
      <c r="AE2101" s="5" t="s">
        <v>49</v>
      </c>
      <c r="AF2101" s="5"/>
      <c r="AG2101" s="5" t="s">
        <v>9058</v>
      </c>
      <c r="AH2101" s="5" t="s">
        <v>9059</v>
      </c>
    </row>
    <row r="2102" spans="2:34" ht="21" customHeight="1" outlineLevel="4" x14ac:dyDescent="0.2">
      <c r="B2102" s="42">
        <v>1641</v>
      </c>
      <c r="C2102" s="5" t="s">
        <v>9060</v>
      </c>
      <c r="D2102" s="5" t="s">
        <v>9061</v>
      </c>
      <c r="E2102" s="6" t="s">
        <v>9062</v>
      </c>
      <c r="F2102" s="10"/>
      <c r="G2102" s="11" t="s">
        <v>9063</v>
      </c>
      <c r="H2102" s="12">
        <v>40</v>
      </c>
      <c r="I2102" s="13" t="s">
        <v>261</v>
      </c>
      <c r="J2102" s="13"/>
      <c r="K2102" s="13"/>
      <c r="L2102" s="4">
        <v>3</v>
      </c>
      <c r="M2102" s="14">
        <f>199*(1-P3/100)</f>
        <v>199</v>
      </c>
      <c r="N2102" s="15"/>
      <c r="O2102" s="13">
        <f t="shared" si="93"/>
        <v>0</v>
      </c>
      <c r="P2102" s="22">
        <f>0.105*N2102</f>
        <v>0</v>
      </c>
      <c r="Q2102" s="23">
        <f>0.00017*N2102</f>
        <v>0</v>
      </c>
      <c r="R2102" s="24"/>
      <c r="S2102" s="25" t="s">
        <v>9064</v>
      </c>
      <c r="T2102" s="25" t="s">
        <v>43</v>
      </c>
      <c r="U2102" s="5"/>
      <c r="V2102" s="5"/>
      <c r="W2102" s="5" t="s">
        <v>46</v>
      </c>
      <c r="X2102" s="5" t="s">
        <v>9065</v>
      </c>
      <c r="Y2102" s="5"/>
      <c r="Z2102" s="5" t="str">
        <f>HYPERLINK("https://knigipp.ru/api/getInfo/image/38b720b5-0366-11e4-98b8-5cf3fc4a2490")</f>
        <v>https://knigipp.ru/api/getInfo/image/38b720b5-0366-11e4-98b8-5cf3fc4a2490</v>
      </c>
      <c r="AA2102" s="33">
        <v>32</v>
      </c>
      <c r="AB2102" s="5"/>
      <c r="AC2102" s="5" t="s">
        <v>86</v>
      </c>
      <c r="AD2102" s="5"/>
      <c r="AE2102" s="5" t="s">
        <v>49</v>
      </c>
      <c r="AF2102" s="5"/>
      <c r="AG2102" s="5" t="s">
        <v>9058</v>
      </c>
      <c r="AH2102" s="5" t="s">
        <v>9059</v>
      </c>
    </row>
    <row r="2103" spans="2:34" ht="21" customHeight="1" outlineLevel="4" x14ac:dyDescent="0.2">
      <c r="B2103" s="42">
        <v>1642</v>
      </c>
      <c r="C2103" s="5" t="s">
        <v>9066</v>
      </c>
      <c r="D2103" s="5" t="s">
        <v>9067</v>
      </c>
      <c r="E2103" s="6" t="s">
        <v>9068</v>
      </c>
      <c r="F2103" s="10"/>
      <c r="G2103" s="11" t="s">
        <v>9069</v>
      </c>
      <c r="H2103" s="12">
        <v>40</v>
      </c>
      <c r="I2103" s="13" t="s">
        <v>41</v>
      </c>
      <c r="J2103" s="13"/>
      <c r="K2103" s="13"/>
      <c r="L2103" s="4">
        <v>3</v>
      </c>
      <c r="M2103" s="14">
        <f>199*(1-P3/100)</f>
        <v>199</v>
      </c>
      <c r="N2103" s="15"/>
      <c r="O2103" s="13">
        <f t="shared" si="93"/>
        <v>0</v>
      </c>
      <c r="P2103" s="22">
        <f>0.156*N2103</f>
        <v>0</v>
      </c>
      <c r="Q2103" s="23">
        <f>0.00021*N2103</f>
        <v>0</v>
      </c>
      <c r="R2103" s="24"/>
      <c r="S2103" s="25" t="s">
        <v>9070</v>
      </c>
      <c r="T2103" s="25" t="s">
        <v>43</v>
      </c>
      <c r="U2103" s="5"/>
      <c r="V2103" s="5" t="s">
        <v>9071</v>
      </c>
      <c r="W2103" s="5" t="s">
        <v>46</v>
      </c>
      <c r="X2103" s="5" t="s">
        <v>3900</v>
      </c>
      <c r="Y2103" s="5"/>
      <c r="Z2103" s="5" t="str">
        <f>HYPERLINK("https://knigipp.ru/api/getInfo/image/4e60ac12-0364-11e4-98b8-5cf3fc4a2490")</f>
        <v>https://knigipp.ru/api/getInfo/image/4e60ac12-0364-11e4-98b8-5cf3fc4a2490</v>
      </c>
      <c r="AA2103" s="33">
        <v>32</v>
      </c>
      <c r="AB2103" s="5"/>
      <c r="AC2103" s="5" t="s">
        <v>86</v>
      </c>
      <c r="AD2103" s="5"/>
      <c r="AE2103" s="5" t="s">
        <v>49</v>
      </c>
      <c r="AF2103" s="5"/>
      <c r="AG2103" s="5" t="s">
        <v>9058</v>
      </c>
      <c r="AH2103" s="5" t="s">
        <v>9059</v>
      </c>
    </row>
    <row r="2104" spans="2:34" ht="21" customHeight="1" outlineLevel="4" x14ac:dyDescent="0.2">
      <c r="B2104" s="42">
        <v>1643</v>
      </c>
      <c r="C2104" s="5" t="s">
        <v>9072</v>
      </c>
      <c r="D2104" s="5" t="s">
        <v>9073</v>
      </c>
      <c r="E2104" s="6" t="s">
        <v>9074</v>
      </c>
      <c r="F2104" s="10"/>
      <c r="G2104" s="11" t="s">
        <v>9075</v>
      </c>
      <c r="H2104" s="12">
        <v>40</v>
      </c>
      <c r="I2104" s="13" t="s">
        <v>41</v>
      </c>
      <c r="J2104" s="13"/>
      <c r="K2104" s="13"/>
      <c r="L2104" s="4">
        <v>3</v>
      </c>
      <c r="M2104" s="14">
        <f>199*(1-P3/100)</f>
        <v>199</v>
      </c>
      <c r="N2104" s="15"/>
      <c r="O2104" s="13">
        <f t="shared" si="93"/>
        <v>0</v>
      </c>
      <c r="P2104" s="32">
        <f>0.15*N2104</f>
        <v>0</v>
      </c>
      <c r="Q2104" s="23">
        <f>0.00034*N2104</f>
        <v>0</v>
      </c>
      <c r="R2104" s="24"/>
      <c r="S2104" s="25" t="s">
        <v>9076</v>
      </c>
      <c r="T2104" s="25" t="s">
        <v>43</v>
      </c>
      <c r="U2104" s="5"/>
      <c r="V2104" s="5" t="s">
        <v>9077</v>
      </c>
      <c r="W2104" s="5" t="s">
        <v>46</v>
      </c>
      <c r="X2104" s="5" t="s">
        <v>3900</v>
      </c>
      <c r="Y2104" s="5"/>
      <c r="Z2104" s="5" t="str">
        <f>HYPERLINK("https://knigipp.ru/api/getInfo/image/e5dfed18-0366-11e4-98b8-5cf3fc4a2490")</f>
        <v>https://knigipp.ru/api/getInfo/image/e5dfed18-0366-11e4-98b8-5cf3fc4a2490</v>
      </c>
      <c r="AA2104" s="33">
        <v>32</v>
      </c>
      <c r="AB2104" s="5"/>
      <c r="AC2104" s="5" t="s">
        <v>86</v>
      </c>
      <c r="AD2104" s="5"/>
      <c r="AE2104" s="5" t="s">
        <v>49</v>
      </c>
      <c r="AF2104" s="5"/>
      <c r="AG2104" s="5" t="s">
        <v>9058</v>
      </c>
      <c r="AH2104" s="5" t="s">
        <v>9059</v>
      </c>
    </row>
    <row r="2105" spans="2:34" ht="21" customHeight="1" outlineLevel="4" x14ac:dyDescent="0.2">
      <c r="B2105" s="42">
        <v>1644</v>
      </c>
      <c r="C2105" s="5" t="s">
        <v>9078</v>
      </c>
      <c r="D2105" s="5" t="s">
        <v>9079</v>
      </c>
      <c r="E2105" s="6" t="s">
        <v>9080</v>
      </c>
      <c r="F2105" s="10"/>
      <c r="G2105" s="11" t="s">
        <v>9081</v>
      </c>
      <c r="H2105" s="12">
        <v>40</v>
      </c>
      <c r="I2105" s="13" t="s">
        <v>41</v>
      </c>
      <c r="J2105" s="13"/>
      <c r="K2105" s="13"/>
      <c r="L2105" s="4">
        <v>3</v>
      </c>
      <c r="M2105" s="14">
        <f>199*(1-P3/100)</f>
        <v>199</v>
      </c>
      <c r="N2105" s="15"/>
      <c r="O2105" s="13">
        <f t="shared" si="93"/>
        <v>0</v>
      </c>
      <c r="P2105" s="22">
        <f>0.151*N2105</f>
        <v>0</v>
      </c>
      <c r="Q2105" s="23">
        <f>0.00038*N2105</f>
        <v>0</v>
      </c>
      <c r="R2105" s="24"/>
      <c r="S2105" s="25" t="s">
        <v>9082</v>
      </c>
      <c r="T2105" s="25" t="s">
        <v>43</v>
      </c>
      <c r="U2105" s="5"/>
      <c r="V2105" s="5" t="s">
        <v>9083</v>
      </c>
      <c r="W2105" s="5" t="s">
        <v>46</v>
      </c>
      <c r="X2105" s="5" t="s">
        <v>9084</v>
      </c>
      <c r="Y2105" s="5"/>
      <c r="Z2105" s="5" t="str">
        <f>HYPERLINK("https://knigipp.ru/api/getInfo/image/120f3b68-0367-11e4-98b8-5cf3fc4a2490")</f>
        <v>https://knigipp.ru/api/getInfo/image/120f3b68-0367-11e4-98b8-5cf3fc4a2490</v>
      </c>
      <c r="AA2105" s="33">
        <v>32</v>
      </c>
      <c r="AB2105" s="5"/>
      <c r="AC2105" s="5" t="s">
        <v>86</v>
      </c>
      <c r="AD2105" s="5"/>
      <c r="AE2105" s="5" t="s">
        <v>49</v>
      </c>
      <c r="AF2105" s="5"/>
      <c r="AG2105" s="5" t="s">
        <v>9058</v>
      </c>
      <c r="AH2105" s="5" t="s">
        <v>9059</v>
      </c>
    </row>
    <row r="2106" spans="2:34" ht="21" customHeight="1" outlineLevel="4" x14ac:dyDescent="0.2">
      <c r="B2106" s="42">
        <v>1645</v>
      </c>
      <c r="C2106" s="5" t="s">
        <v>9085</v>
      </c>
      <c r="D2106" s="5" t="s">
        <v>9086</v>
      </c>
      <c r="E2106" s="6" t="s">
        <v>9087</v>
      </c>
      <c r="F2106" s="10"/>
      <c r="G2106" s="11" t="s">
        <v>9088</v>
      </c>
      <c r="H2106" s="12">
        <v>40</v>
      </c>
      <c r="I2106" s="13" t="s">
        <v>261</v>
      </c>
      <c r="J2106" s="13"/>
      <c r="K2106" s="13"/>
      <c r="L2106" s="4">
        <v>3</v>
      </c>
      <c r="M2106" s="14">
        <f>199*(1-P3/100)</f>
        <v>199</v>
      </c>
      <c r="N2106" s="15"/>
      <c r="O2106" s="13">
        <f t="shared" si="93"/>
        <v>0</v>
      </c>
      <c r="P2106" s="22">
        <f>0.105*N2106</f>
        <v>0</v>
      </c>
      <c r="Q2106" s="23">
        <f>0.00017*N2106</f>
        <v>0</v>
      </c>
      <c r="R2106" s="24"/>
      <c r="S2106" s="25" t="s">
        <v>9089</v>
      </c>
      <c r="T2106" s="25" t="s">
        <v>43</v>
      </c>
      <c r="U2106" s="5" t="s">
        <v>9090</v>
      </c>
      <c r="V2106" s="5"/>
      <c r="W2106" s="5" t="s">
        <v>46</v>
      </c>
      <c r="X2106" s="5" t="s">
        <v>362</v>
      </c>
      <c r="Y2106" s="5"/>
      <c r="Z2106" s="5" t="str">
        <f>HYPERLINK("https://knigipp.ru/api/getInfo/image/3e5194a0-0367-11e4-98b8-5cf3fc4a2490")</f>
        <v>https://knigipp.ru/api/getInfo/image/3e5194a0-0367-11e4-98b8-5cf3fc4a2490</v>
      </c>
      <c r="AA2106" s="33">
        <v>32</v>
      </c>
      <c r="AB2106" s="5"/>
      <c r="AC2106" s="5" t="s">
        <v>86</v>
      </c>
      <c r="AD2106" s="5"/>
      <c r="AE2106" s="5" t="s">
        <v>49</v>
      </c>
      <c r="AF2106" s="5"/>
      <c r="AG2106" s="5" t="s">
        <v>9058</v>
      </c>
      <c r="AH2106" s="5" t="s">
        <v>9059</v>
      </c>
    </row>
    <row r="2107" spans="2:34" ht="21" customHeight="1" outlineLevel="4" x14ac:dyDescent="0.2">
      <c r="B2107" s="42">
        <v>1646</v>
      </c>
      <c r="C2107" s="5" t="s">
        <v>9091</v>
      </c>
      <c r="D2107" s="5" t="s">
        <v>9092</v>
      </c>
      <c r="E2107" s="6" t="s">
        <v>9093</v>
      </c>
      <c r="F2107" s="10"/>
      <c r="G2107" s="11" t="s">
        <v>9094</v>
      </c>
      <c r="H2107" s="12">
        <v>40</v>
      </c>
      <c r="I2107" s="13" t="s">
        <v>41</v>
      </c>
      <c r="J2107" s="13"/>
      <c r="K2107" s="13"/>
      <c r="L2107" s="4">
        <v>3</v>
      </c>
      <c r="M2107" s="14">
        <f>199*(1-P3/100)</f>
        <v>199</v>
      </c>
      <c r="N2107" s="15"/>
      <c r="O2107" s="13">
        <f t="shared" si="93"/>
        <v>0</v>
      </c>
      <c r="P2107" s="22">
        <f>0.157*N2107</f>
        <v>0</v>
      </c>
      <c r="Q2107" s="23">
        <f>0.00018*N2107</f>
        <v>0</v>
      </c>
      <c r="R2107" s="24"/>
      <c r="S2107" s="25" t="s">
        <v>9095</v>
      </c>
      <c r="T2107" s="25" t="s">
        <v>43</v>
      </c>
      <c r="U2107" s="5" t="s">
        <v>9090</v>
      </c>
      <c r="V2107" s="5" t="s">
        <v>9096</v>
      </c>
      <c r="W2107" s="5" t="s">
        <v>46</v>
      </c>
      <c r="X2107" s="5" t="s">
        <v>253</v>
      </c>
      <c r="Y2107" s="5"/>
      <c r="Z2107" s="5" t="str">
        <f>HYPERLINK("https://knigipp.ru/api/getInfo/image/6d606831-0367-11e4-98b8-5cf3fc4a2490")</f>
        <v>https://knigipp.ru/api/getInfo/image/6d606831-0367-11e4-98b8-5cf3fc4a2490</v>
      </c>
      <c r="AA2107" s="33">
        <v>32</v>
      </c>
      <c r="AB2107" s="5"/>
      <c r="AC2107" s="5" t="s">
        <v>86</v>
      </c>
      <c r="AD2107" s="5"/>
      <c r="AE2107" s="5" t="s">
        <v>49</v>
      </c>
      <c r="AF2107" s="5"/>
      <c r="AG2107" s="5" t="s">
        <v>9058</v>
      </c>
      <c r="AH2107" s="5" t="s">
        <v>9059</v>
      </c>
    </row>
    <row r="2108" spans="2:34" ht="21" customHeight="1" outlineLevel="4" x14ac:dyDescent="0.2">
      <c r="B2108" s="42">
        <v>1647</v>
      </c>
      <c r="C2108" s="5" t="s">
        <v>9097</v>
      </c>
      <c r="D2108" s="5" t="s">
        <v>9098</v>
      </c>
      <c r="E2108" s="6" t="s">
        <v>9099</v>
      </c>
      <c r="F2108" s="10"/>
      <c r="G2108" s="11" t="s">
        <v>9100</v>
      </c>
      <c r="H2108" s="12">
        <v>40</v>
      </c>
      <c r="I2108" s="13" t="s">
        <v>41</v>
      </c>
      <c r="J2108" s="13"/>
      <c r="K2108" s="13"/>
      <c r="L2108" s="4">
        <v>3</v>
      </c>
      <c r="M2108" s="14">
        <f>199*(1-P3/100)</f>
        <v>199</v>
      </c>
      <c r="N2108" s="15"/>
      <c r="O2108" s="13">
        <f t="shared" si="93"/>
        <v>0</v>
      </c>
      <c r="P2108" s="22">
        <f>0.151*N2108</f>
        <v>0</v>
      </c>
      <c r="Q2108" s="23">
        <f>0.00051*N2108</f>
        <v>0</v>
      </c>
      <c r="R2108" s="24"/>
      <c r="S2108" s="25" t="s">
        <v>9101</v>
      </c>
      <c r="T2108" s="25" t="s">
        <v>43</v>
      </c>
      <c r="U2108" s="5" t="s">
        <v>9090</v>
      </c>
      <c r="V2108" s="5" t="s">
        <v>9102</v>
      </c>
      <c r="W2108" s="5" t="s">
        <v>46</v>
      </c>
      <c r="X2108" s="5" t="s">
        <v>362</v>
      </c>
      <c r="Y2108" s="5"/>
      <c r="Z2108" s="5" t="str">
        <f>HYPERLINK("https://knigipp.ru/api/getInfo/image/91e1906f-0367-11e4-98b8-5cf3fc4a2490")</f>
        <v>https://knigipp.ru/api/getInfo/image/91e1906f-0367-11e4-98b8-5cf3fc4a2490</v>
      </c>
      <c r="AA2108" s="33">
        <v>32</v>
      </c>
      <c r="AB2108" s="5"/>
      <c r="AC2108" s="5" t="s">
        <v>86</v>
      </c>
      <c r="AD2108" s="5"/>
      <c r="AE2108" s="5" t="s">
        <v>49</v>
      </c>
      <c r="AF2108" s="5"/>
      <c r="AG2108" s="5" t="s">
        <v>9058</v>
      </c>
      <c r="AH2108" s="5" t="s">
        <v>9059</v>
      </c>
    </row>
    <row r="2109" spans="2:34" ht="21" customHeight="1" outlineLevel="4" x14ac:dyDescent="0.2">
      <c r="B2109" s="42">
        <v>1648</v>
      </c>
      <c r="C2109" s="5" t="s">
        <v>9103</v>
      </c>
      <c r="D2109" s="5" t="s">
        <v>9104</v>
      </c>
      <c r="E2109" s="6" t="s">
        <v>9105</v>
      </c>
      <c r="F2109" s="10"/>
      <c r="G2109" s="11" t="s">
        <v>9106</v>
      </c>
      <c r="H2109" s="12">
        <v>40</v>
      </c>
      <c r="I2109" s="13" t="s">
        <v>371</v>
      </c>
      <c r="J2109" s="13"/>
      <c r="K2109" s="13"/>
      <c r="L2109" s="4">
        <v>3</v>
      </c>
      <c r="M2109" s="14">
        <f>199*(1-P3/100)</f>
        <v>199</v>
      </c>
      <c r="N2109" s="15"/>
      <c r="O2109" s="13">
        <f t="shared" si="93"/>
        <v>0</v>
      </c>
      <c r="P2109" s="22">
        <f>0.162*N2109</f>
        <v>0</v>
      </c>
      <c r="Q2109" s="23">
        <f>0.00037*N2109</f>
        <v>0</v>
      </c>
      <c r="R2109" s="24"/>
      <c r="S2109" s="25" t="s">
        <v>9107</v>
      </c>
      <c r="T2109" s="25" t="s">
        <v>43</v>
      </c>
      <c r="U2109" s="5" t="s">
        <v>9090</v>
      </c>
      <c r="V2109" s="5" t="s">
        <v>9108</v>
      </c>
      <c r="W2109" s="5" t="s">
        <v>46</v>
      </c>
      <c r="X2109" s="5" t="s">
        <v>2560</v>
      </c>
      <c r="Y2109" s="5"/>
      <c r="Z2109" s="5" t="str">
        <f>HYPERLINK("https://knigipp.ru/api/getInfo/image/77c5e166-0364-11e4-98b8-5cf3fc4a2490")</f>
        <v>https://knigipp.ru/api/getInfo/image/77c5e166-0364-11e4-98b8-5cf3fc4a2490</v>
      </c>
      <c r="AA2109" s="33">
        <v>32</v>
      </c>
      <c r="AB2109" s="5"/>
      <c r="AC2109" s="5" t="s">
        <v>86</v>
      </c>
      <c r="AD2109" s="5"/>
      <c r="AE2109" s="5" t="s">
        <v>49</v>
      </c>
      <c r="AF2109" s="5"/>
      <c r="AG2109" s="5" t="s">
        <v>9058</v>
      </c>
      <c r="AH2109" s="5" t="s">
        <v>9059</v>
      </c>
    </row>
    <row r="2110" spans="2:34" ht="21" customHeight="1" outlineLevel="4" x14ac:dyDescent="0.2">
      <c r="B2110" s="42">
        <v>1649</v>
      </c>
      <c r="C2110" s="5" t="s">
        <v>9109</v>
      </c>
      <c r="D2110" s="5" t="s">
        <v>9110</v>
      </c>
      <c r="E2110" s="6" t="s">
        <v>9111</v>
      </c>
      <c r="F2110" s="10"/>
      <c r="G2110" s="11" t="s">
        <v>9112</v>
      </c>
      <c r="H2110" s="12">
        <v>40</v>
      </c>
      <c r="I2110" s="13" t="s">
        <v>41</v>
      </c>
      <c r="J2110" s="13"/>
      <c r="K2110" s="13"/>
      <c r="L2110" s="4">
        <v>3</v>
      </c>
      <c r="M2110" s="14">
        <f>199*(1-P3/100)</f>
        <v>199</v>
      </c>
      <c r="N2110" s="15"/>
      <c r="O2110" s="13">
        <f t="shared" si="93"/>
        <v>0</v>
      </c>
      <c r="P2110" s="22">
        <f>0.161*N2110</f>
        <v>0</v>
      </c>
      <c r="Q2110" s="23">
        <f>0.00036*N2110</f>
        <v>0</v>
      </c>
      <c r="R2110" s="24"/>
      <c r="S2110" s="25" t="s">
        <v>9113</v>
      </c>
      <c r="T2110" s="25" t="s">
        <v>43</v>
      </c>
      <c r="U2110" s="5" t="s">
        <v>9114</v>
      </c>
      <c r="V2110" s="5" t="s">
        <v>9115</v>
      </c>
      <c r="W2110" s="5" t="s">
        <v>46</v>
      </c>
      <c r="X2110" s="5" t="s">
        <v>9065</v>
      </c>
      <c r="Y2110" s="5"/>
      <c r="Z2110" s="5" t="str">
        <f>HYPERLINK("https://knigipp.ru/api/getInfo/image/e9606ce9-0367-11e4-98b8-5cf3fc4a2490")</f>
        <v>https://knigipp.ru/api/getInfo/image/e9606ce9-0367-11e4-98b8-5cf3fc4a2490</v>
      </c>
      <c r="AA2110" s="33">
        <v>32</v>
      </c>
      <c r="AB2110" s="5"/>
      <c r="AC2110" s="5" t="s">
        <v>86</v>
      </c>
      <c r="AD2110" s="5"/>
      <c r="AE2110" s="5" t="s">
        <v>49</v>
      </c>
      <c r="AF2110" s="5"/>
      <c r="AG2110" s="5" t="s">
        <v>9058</v>
      </c>
      <c r="AH2110" s="5" t="s">
        <v>9059</v>
      </c>
    </row>
    <row r="2111" spans="2:34" ht="22.95" customHeight="1" outlineLevel="3" x14ac:dyDescent="0.2">
      <c r="B2111" s="74" t="s">
        <v>9116</v>
      </c>
      <c r="C2111" s="74"/>
      <c r="D2111" s="74"/>
    </row>
    <row r="2112" spans="2:34" ht="21" customHeight="1" outlineLevel="4" x14ac:dyDescent="0.2">
      <c r="B2112" s="42">
        <v>1650</v>
      </c>
      <c r="C2112" s="5" t="s">
        <v>9117</v>
      </c>
      <c r="D2112" s="5" t="s">
        <v>9118</v>
      </c>
      <c r="E2112" s="6" t="s">
        <v>9119</v>
      </c>
      <c r="F2112" s="10"/>
      <c r="G2112" s="11" t="s">
        <v>9120</v>
      </c>
      <c r="H2112" s="12">
        <v>10</v>
      </c>
      <c r="I2112" s="13" t="s">
        <v>261</v>
      </c>
      <c r="J2112" s="13"/>
      <c r="K2112" s="13"/>
      <c r="L2112" s="4">
        <v>2</v>
      </c>
      <c r="M2112" s="14">
        <f>359.52*(1-P3/100)</f>
        <v>359.52</v>
      </c>
      <c r="N2112" s="15"/>
      <c r="O2112" s="13">
        <f t="shared" ref="O2112:O2120" si="94">M2112*N2112</f>
        <v>0</v>
      </c>
      <c r="P2112" s="22">
        <f>0.403*N2112</f>
        <v>0</v>
      </c>
      <c r="Q2112" s="23">
        <f>0.00097*N2112</f>
        <v>0</v>
      </c>
      <c r="R2112" s="24"/>
      <c r="S2112" s="25" t="s">
        <v>9121</v>
      </c>
      <c r="T2112" s="25" t="s">
        <v>43</v>
      </c>
      <c r="U2112" s="5" t="s">
        <v>9122</v>
      </c>
      <c r="V2112" s="5"/>
      <c r="W2112" s="5" t="s">
        <v>46</v>
      </c>
      <c r="X2112" s="5"/>
      <c r="Y2112" s="5"/>
      <c r="Z2112" s="5" t="str">
        <f>HYPERLINK("https://knigipp.ru/api/getInfo/image/97d1f88e-ce1c-11e8-a20d-ac1f6b442184")</f>
        <v>https://knigipp.ru/api/getInfo/image/97d1f88e-ce1c-11e8-a20d-ac1f6b442184</v>
      </c>
      <c r="AA2112" s="33">
        <v>320</v>
      </c>
      <c r="AB2112" s="5"/>
      <c r="AC2112" s="5" t="s">
        <v>86</v>
      </c>
      <c r="AD2112" s="5"/>
      <c r="AE2112" s="5" t="s">
        <v>49</v>
      </c>
      <c r="AF2112" s="5"/>
      <c r="AG2112" s="5"/>
      <c r="AH2112" s="5" t="s">
        <v>9123</v>
      </c>
    </row>
    <row r="2113" spans="2:35" ht="21" customHeight="1" outlineLevel="4" x14ac:dyDescent="0.2">
      <c r="B2113" s="42">
        <v>1651</v>
      </c>
      <c r="C2113" s="5" t="s">
        <v>9124</v>
      </c>
      <c r="D2113" s="5" t="s">
        <v>9125</v>
      </c>
      <c r="E2113" s="6" t="s">
        <v>9126</v>
      </c>
      <c r="F2113" s="10"/>
      <c r="G2113" s="11" t="s">
        <v>9127</v>
      </c>
      <c r="H2113" s="12">
        <v>10</v>
      </c>
      <c r="I2113" s="13" t="s">
        <v>41</v>
      </c>
      <c r="J2113" s="13"/>
      <c r="K2113" s="13"/>
      <c r="L2113" s="4">
        <v>1</v>
      </c>
      <c r="M2113" s="14">
        <f>747*(1-P3/100)</f>
        <v>747</v>
      </c>
      <c r="N2113" s="15"/>
      <c r="O2113" s="13">
        <f t="shared" si="94"/>
        <v>0</v>
      </c>
      <c r="P2113" s="22">
        <f>0.373*N2113</f>
        <v>0</v>
      </c>
      <c r="Q2113" s="23">
        <f>0.00085*N2113</f>
        <v>0</v>
      </c>
      <c r="R2113" s="24"/>
      <c r="S2113" s="25" t="s">
        <v>9128</v>
      </c>
      <c r="T2113" s="25" t="s">
        <v>43</v>
      </c>
      <c r="U2113" s="5"/>
      <c r="V2113" s="5" t="s">
        <v>9129</v>
      </c>
      <c r="W2113" s="5" t="s">
        <v>46</v>
      </c>
      <c r="X2113" s="5"/>
      <c r="Y2113" s="5"/>
      <c r="Z2113" s="5" t="str">
        <f>HYPERLINK("https://knigipp.ru/api/getInfo/image/a2214bd0-3552-11ef-a261-00155d82e908")</f>
        <v>https://knigipp.ru/api/getInfo/image/a2214bd0-3552-11ef-a261-00155d82e908</v>
      </c>
      <c r="AA2113" s="33">
        <v>288</v>
      </c>
      <c r="AB2113" s="5" t="s">
        <v>9130</v>
      </c>
      <c r="AC2113" s="5" t="s">
        <v>86</v>
      </c>
      <c r="AD2113" s="5"/>
      <c r="AE2113" s="5" t="s">
        <v>49</v>
      </c>
      <c r="AF2113" s="5"/>
      <c r="AG2113" s="5" t="s">
        <v>9131</v>
      </c>
      <c r="AH2113" s="5" t="s">
        <v>9123</v>
      </c>
    </row>
    <row r="2114" spans="2:35" ht="21" customHeight="1" outlineLevel="4" x14ac:dyDescent="0.2">
      <c r="B2114" s="42">
        <v>1652</v>
      </c>
      <c r="C2114" s="5" t="s">
        <v>9132</v>
      </c>
      <c r="D2114" s="5" t="s">
        <v>9133</v>
      </c>
      <c r="E2114" s="6" t="s">
        <v>9134</v>
      </c>
      <c r="F2114" s="10"/>
      <c r="G2114" s="11" t="s">
        <v>9135</v>
      </c>
      <c r="H2114" s="12">
        <v>10</v>
      </c>
      <c r="I2114" s="13" t="s">
        <v>41</v>
      </c>
      <c r="J2114" s="13"/>
      <c r="K2114" s="13"/>
      <c r="L2114" s="4">
        <v>1</v>
      </c>
      <c r="M2114" s="14">
        <f>747*(1-P3/100)</f>
        <v>747</v>
      </c>
      <c r="N2114" s="15"/>
      <c r="O2114" s="13">
        <f t="shared" si="94"/>
        <v>0</v>
      </c>
      <c r="P2114" s="22">
        <f>0.409*N2114</f>
        <v>0</v>
      </c>
      <c r="Q2114" s="30">
        <f>0.0012*N2114</f>
        <v>0</v>
      </c>
      <c r="R2114" s="24"/>
      <c r="S2114" s="25" t="s">
        <v>9136</v>
      </c>
      <c r="T2114" s="25" t="s">
        <v>43</v>
      </c>
      <c r="U2114" s="5" t="s">
        <v>9114</v>
      </c>
      <c r="V2114" s="5"/>
      <c r="W2114" s="5" t="s">
        <v>46</v>
      </c>
      <c r="X2114" s="5"/>
      <c r="Y2114" s="5"/>
      <c r="Z2114" s="5" t="str">
        <f>HYPERLINK("https://knigipp.ru/api/getInfo/image/924f1eb6-98d9-11e9-a227-ac1f6b442184")</f>
        <v>https://knigipp.ru/api/getInfo/image/924f1eb6-98d9-11e9-a227-ac1f6b442184</v>
      </c>
      <c r="AA2114" s="33">
        <v>320</v>
      </c>
      <c r="AB2114" s="5" t="s">
        <v>9130</v>
      </c>
      <c r="AC2114" s="5" t="s">
        <v>86</v>
      </c>
      <c r="AD2114" s="5"/>
      <c r="AE2114" s="5" t="s">
        <v>49</v>
      </c>
      <c r="AF2114" s="5"/>
      <c r="AG2114" s="5"/>
      <c r="AH2114" s="5" t="s">
        <v>9123</v>
      </c>
    </row>
    <row r="2115" spans="2:35" ht="21" customHeight="1" outlineLevel="4" x14ac:dyDescent="0.2">
      <c r="B2115" s="42">
        <v>1653</v>
      </c>
      <c r="C2115" s="5" t="s">
        <v>9137</v>
      </c>
      <c r="D2115" s="5" t="s">
        <v>9138</v>
      </c>
      <c r="E2115" s="6" t="s">
        <v>9139</v>
      </c>
      <c r="F2115" s="10"/>
      <c r="G2115" s="11" t="s">
        <v>9140</v>
      </c>
      <c r="H2115" s="12">
        <v>10</v>
      </c>
      <c r="I2115" s="13" t="s">
        <v>41</v>
      </c>
      <c r="J2115" s="13"/>
      <c r="K2115" s="13"/>
      <c r="L2115" s="4">
        <v>1</v>
      </c>
      <c r="M2115" s="14">
        <f>747*(1-P3/100)</f>
        <v>747</v>
      </c>
      <c r="N2115" s="15"/>
      <c r="O2115" s="13">
        <f t="shared" si="94"/>
        <v>0</v>
      </c>
      <c r="P2115" s="22">
        <f>0.399*N2115</f>
        <v>0</v>
      </c>
      <c r="Q2115" s="23">
        <f>0.00088*N2115</f>
        <v>0</v>
      </c>
      <c r="R2115" s="24"/>
      <c r="S2115" s="25" t="s">
        <v>9141</v>
      </c>
      <c r="T2115" s="25" t="s">
        <v>43</v>
      </c>
      <c r="U2115" s="5"/>
      <c r="V2115" s="5" t="s">
        <v>9142</v>
      </c>
      <c r="W2115" s="5" t="s">
        <v>46</v>
      </c>
      <c r="X2115" s="5"/>
      <c r="Y2115" s="5"/>
      <c r="Z2115" s="5" t="str">
        <f>HYPERLINK("https://knigipp.ru/api/getInfo/image/297d69da-9dce-11eb-a201-ac1f6b442185")</f>
        <v>https://knigipp.ru/api/getInfo/image/297d69da-9dce-11eb-a201-ac1f6b442185</v>
      </c>
      <c r="AA2115" s="33">
        <v>320</v>
      </c>
      <c r="AB2115" s="5" t="s">
        <v>9130</v>
      </c>
      <c r="AC2115" s="5" t="s">
        <v>86</v>
      </c>
      <c r="AD2115" s="5"/>
      <c r="AE2115" s="5" t="s">
        <v>49</v>
      </c>
      <c r="AF2115" s="5"/>
      <c r="AG2115" s="5" t="s">
        <v>9131</v>
      </c>
      <c r="AH2115" s="5" t="s">
        <v>9123</v>
      </c>
    </row>
    <row r="2116" spans="2:35" ht="21" customHeight="1" outlineLevel="4" x14ac:dyDescent="0.2">
      <c r="B2116" s="42">
        <v>1654</v>
      </c>
      <c r="C2116" s="5" t="s">
        <v>9143</v>
      </c>
      <c r="D2116" s="5" t="s">
        <v>9144</v>
      </c>
      <c r="E2116" s="6" t="s">
        <v>9145</v>
      </c>
      <c r="F2116" s="10"/>
      <c r="G2116" s="11" t="s">
        <v>9146</v>
      </c>
      <c r="H2116" s="12">
        <v>10</v>
      </c>
      <c r="I2116" s="13" t="s">
        <v>41</v>
      </c>
      <c r="J2116" s="13"/>
      <c r="K2116" s="13"/>
      <c r="L2116" s="4">
        <v>1</v>
      </c>
      <c r="M2116" s="14">
        <f>747*(1-P3/100)</f>
        <v>747</v>
      </c>
      <c r="N2116" s="15"/>
      <c r="O2116" s="13">
        <f t="shared" si="94"/>
        <v>0</v>
      </c>
      <c r="P2116" s="22">
        <f>0.394*N2116</f>
        <v>0</v>
      </c>
      <c r="Q2116" s="30">
        <f>0.0011*N2116</f>
        <v>0</v>
      </c>
      <c r="R2116" s="24"/>
      <c r="S2116" s="25" t="s">
        <v>9147</v>
      </c>
      <c r="T2116" s="25" t="s">
        <v>43</v>
      </c>
      <c r="U2116" s="5"/>
      <c r="V2116" s="5"/>
      <c r="W2116" s="5" t="s">
        <v>46</v>
      </c>
      <c r="X2116" s="5" t="s">
        <v>9148</v>
      </c>
      <c r="Y2116" s="5"/>
      <c r="Z2116" s="5" t="str">
        <f>HYPERLINK("https://knigipp.ru/api/getInfo/image/164ca920-1b01-11e8-ba06-5cf3fc4a2490")</f>
        <v>https://knigipp.ru/api/getInfo/image/164ca920-1b01-11e8-ba06-5cf3fc4a2490</v>
      </c>
      <c r="AA2116" s="33">
        <v>320</v>
      </c>
      <c r="AB2116" s="5" t="s">
        <v>9130</v>
      </c>
      <c r="AC2116" s="5" t="s">
        <v>86</v>
      </c>
      <c r="AD2116" s="5"/>
      <c r="AE2116" s="5" t="s">
        <v>49</v>
      </c>
      <c r="AF2116" s="5"/>
      <c r="AG2116" s="5" t="s">
        <v>9131</v>
      </c>
      <c r="AH2116" s="5" t="s">
        <v>9123</v>
      </c>
    </row>
    <row r="2117" spans="2:35" ht="21" customHeight="1" outlineLevel="4" x14ac:dyDescent="0.2">
      <c r="B2117" s="42">
        <v>1655</v>
      </c>
      <c r="C2117" s="5" t="s">
        <v>9149</v>
      </c>
      <c r="D2117" s="5" t="s">
        <v>9150</v>
      </c>
      <c r="E2117" s="6" t="s">
        <v>9151</v>
      </c>
      <c r="F2117" s="10"/>
      <c r="G2117" s="11" t="s">
        <v>9152</v>
      </c>
      <c r="H2117" s="12">
        <v>10</v>
      </c>
      <c r="I2117" s="13" t="s">
        <v>41</v>
      </c>
      <c r="J2117" s="13"/>
      <c r="K2117" s="13"/>
      <c r="L2117" s="4">
        <v>1</v>
      </c>
      <c r="M2117" s="14">
        <f>747*(1-P3/100)</f>
        <v>747</v>
      </c>
      <c r="N2117" s="15"/>
      <c r="O2117" s="13">
        <f t="shared" si="94"/>
        <v>0</v>
      </c>
      <c r="P2117" s="22">
        <f>0.399*N2117</f>
        <v>0</v>
      </c>
      <c r="Q2117" s="23">
        <f>0.00088*N2117</f>
        <v>0</v>
      </c>
      <c r="R2117" s="24"/>
      <c r="S2117" s="25" t="s">
        <v>9153</v>
      </c>
      <c r="T2117" s="25" t="s">
        <v>43</v>
      </c>
      <c r="U2117" s="5" t="s">
        <v>9154</v>
      </c>
      <c r="V2117" s="5" t="s">
        <v>9155</v>
      </c>
      <c r="W2117" s="5" t="s">
        <v>46</v>
      </c>
      <c r="X2117" s="5" t="s">
        <v>9148</v>
      </c>
      <c r="Y2117" s="5"/>
      <c r="Z2117" s="5" t="str">
        <f>HYPERLINK("https://knigipp.ru/api/getInfo/image/ef273bee-1b00-11e8-ba06-5cf3fc4a2490")</f>
        <v>https://knigipp.ru/api/getInfo/image/ef273bee-1b00-11e8-ba06-5cf3fc4a2490</v>
      </c>
      <c r="AA2117" s="33">
        <v>320</v>
      </c>
      <c r="AB2117" s="5" t="s">
        <v>9130</v>
      </c>
      <c r="AC2117" s="5" t="s">
        <v>86</v>
      </c>
      <c r="AD2117" s="5"/>
      <c r="AE2117" s="5" t="s">
        <v>49</v>
      </c>
      <c r="AF2117" s="5"/>
      <c r="AG2117" s="5" t="s">
        <v>9131</v>
      </c>
      <c r="AH2117" s="5" t="s">
        <v>9123</v>
      </c>
    </row>
    <row r="2118" spans="2:35" ht="21" customHeight="1" outlineLevel="4" x14ac:dyDescent="0.2">
      <c r="B2118" s="42">
        <v>1656</v>
      </c>
      <c r="C2118" s="5" t="s">
        <v>9156</v>
      </c>
      <c r="D2118" s="5" t="s">
        <v>9157</v>
      </c>
      <c r="E2118" s="6" t="s">
        <v>9158</v>
      </c>
      <c r="F2118" s="10"/>
      <c r="G2118" s="11" t="s">
        <v>9159</v>
      </c>
      <c r="H2118" s="12">
        <v>10</v>
      </c>
      <c r="I2118" s="13" t="s">
        <v>41</v>
      </c>
      <c r="J2118" s="13"/>
      <c r="K2118" s="13"/>
      <c r="L2118" s="4">
        <v>1</v>
      </c>
      <c r="M2118" s="14">
        <f>747*(1-P3/100)</f>
        <v>747</v>
      </c>
      <c r="N2118" s="15"/>
      <c r="O2118" s="13">
        <f t="shared" si="94"/>
        <v>0</v>
      </c>
      <c r="P2118" s="22">
        <f>0.411*N2118</f>
        <v>0</v>
      </c>
      <c r="Q2118" s="23">
        <f>0.00111*N2118</f>
        <v>0</v>
      </c>
      <c r="R2118" s="24"/>
      <c r="S2118" s="25" t="s">
        <v>9160</v>
      </c>
      <c r="T2118" s="25" t="s">
        <v>43</v>
      </c>
      <c r="U2118" s="5" t="s">
        <v>9161</v>
      </c>
      <c r="V2118" s="5" t="s">
        <v>9162</v>
      </c>
      <c r="W2118" s="5" t="s">
        <v>46</v>
      </c>
      <c r="X2118" s="5" t="s">
        <v>573</v>
      </c>
      <c r="Y2118" s="5"/>
      <c r="Z2118" s="5" t="str">
        <f>HYPERLINK("https://knigipp.ru/api/getInfo/image/0db5c39d-1f1b-11ee-a23c-00155d82e902")</f>
        <v>https://knigipp.ru/api/getInfo/image/0db5c39d-1f1b-11ee-a23c-00155d82e902</v>
      </c>
      <c r="AA2118" s="33">
        <v>320</v>
      </c>
      <c r="AB2118" s="5" t="s">
        <v>9130</v>
      </c>
      <c r="AC2118" s="5" t="s">
        <v>86</v>
      </c>
      <c r="AD2118" s="5"/>
      <c r="AE2118" s="5" t="s">
        <v>49</v>
      </c>
      <c r="AF2118" s="5"/>
      <c r="AG2118" s="5" t="s">
        <v>9131</v>
      </c>
      <c r="AH2118" s="5" t="s">
        <v>9123</v>
      </c>
    </row>
    <row r="2119" spans="2:35" ht="21" customHeight="1" outlineLevel="4" x14ac:dyDescent="0.2">
      <c r="B2119" s="42">
        <v>1657</v>
      </c>
      <c r="C2119" s="5" t="s">
        <v>9163</v>
      </c>
      <c r="D2119" s="5" t="s">
        <v>9164</v>
      </c>
      <c r="E2119" s="6" t="s">
        <v>9165</v>
      </c>
      <c r="F2119" s="10"/>
      <c r="G2119" s="11" t="s">
        <v>9166</v>
      </c>
      <c r="H2119" s="12">
        <v>10</v>
      </c>
      <c r="I2119" s="13" t="s">
        <v>41</v>
      </c>
      <c r="J2119" s="13"/>
      <c r="K2119" s="13"/>
      <c r="L2119" s="4">
        <v>1</v>
      </c>
      <c r="M2119" s="14">
        <f>747*(1-P3/100)</f>
        <v>747</v>
      </c>
      <c r="N2119" s="15"/>
      <c r="O2119" s="13">
        <f t="shared" si="94"/>
        <v>0</v>
      </c>
      <c r="P2119" s="22">
        <f>0.399*N2119</f>
        <v>0</v>
      </c>
      <c r="Q2119" s="23">
        <f>0.00088*N2119</f>
        <v>0</v>
      </c>
      <c r="R2119" s="24"/>
      <c r="S2119" s="25" t="s">
        <v>9167</v>
      </c>
      <c r="T2119" s="25" t="s">
        <v>43</v>
      </c>
      <c r="U2119" s="5" t="s">
        <v>9168</v>
      </c>
      <c r="V2119" s="5" t="s">
        <v>9169</v>
      </c>
      <c r="W2119" s="5" t="s">
        <v>46</v>
      </c>
      <c r="X2119" s="5"/>
      <c r="Y2119" s="5"/>
      <c r="Z2119" s="5" t="str">
        <f>HYPERLINK("https://knigipp.ru/api/getInfo/image/e2f5a11f-7b5f-11eb-a275-ac1f6b442184")</f>
        <v>https://knigipp.ru/api/getInfo/image/e2f5a11f-7b5f-11eb-a275-ac1f6b442184</v>
      </c>
      <c r="AA2119" s="33">
        <v>320</v>
      </c>
      <c r="AB2119" s="5" t="s">
        <v>9130</v>
      </c>
      <c r="AC2119" s="5" t="s">
        <v>86</v>
      </c>
      <c r="AD2119" s="5"/>
      <c r="AE2119" s="5" t="s">
        <v>49</v>
      </c>
      <c r="AF2119" s="5"/>
      <c r="AG2119" s="5" t="s">
        <v>9131</v>
      </c>
      <c r="AH2119" s="5" t="s">
        <v>9123</v>
      </c>
    </row>
    <row r="2120" spans="2:35" ht="21" customHeight="1" outlineLevel="4" x14ac:dyDescent="0.2">
      <c r="B2120" s="43">
        <v>1658</v>
      </c>
      <c r="C2120" s="8" t="s">
        <v>9170</v>
      </c>
      <c r="D2120" s="8" t="s">
        <v>9171</v>
      </c>
      <c r="E2120" s="9" t="s">
        <v>9172</v>
      </c>
      <c r="F2120" s="16"/>
      <c r="G2120" s="17" t="s">
        <v>9173</v>
      </c>
      <c r="H2120" s="18">
        <v>10</v>
      </c>
      <c r="I2120" s="19" t="s">
        <v>41</v>
      </c>
      <c r="J2120" s="19"/>
      <c r="K2120" s="19"/>
      <c r="L2120" s="7">
        <v>1</v>
      </c>
      <c r="M2120" s="21">
        <f>847*(1-P3/100)</f>
        <v>847</v>
      </c>
      <c r="N2120" s="15"/>
      <c r="O2120" s="19">
        <f t="shared" si="94"/>
        <v>0</v>
      </c>
      <c r="P2120" s="26">
        <f>0.418*N2120</f>
        <v>0</v>
      </c>
      <c r="Q2120" s="27">
        <f>0.00094*N2120</f>
        <v>0</v>
      </c>
      <c r="R2120" s="28" t="s">
        <v>81</v>
      </c>
      <c r="S2120" s="29" t="s">
        <v>9174</v>
      </c>
      <c r="T2120" s="29" t="s">
        <v>43</v>
      </c>
      <c r="U2120" s="8" t="s">
        <v>9175</v>
      </c>
      <c r="V2120" s="8" t="s">
        <v>9176</v>
      </c>
      <c r="W2120" s="8" t="s">
        <v>46</v>
      </c>
      <c r="X2120" s="8"/>
      <c r="Y2120" s="8"/>
      <c r="Z2120" s="8" t="str">
        <f>HYPERLINK("https://knigipp.ru/api/getInfo/image/77a015b3-cb91-11f0-a28a-00155d82e908")</f>
        <v>https://knigipp.ru/api/getInfo/image/77a015b3-cb91-11f0-a28a-00155d82e908</v>
      </c>
      <c r="AA2120" s="34">
        <v>320</v>
      </c>
      <c r="AB2120" s="8" t="s">
        <v>9130</v>
      </c>
      <c r="AC2120" s="8" t="s">
        <v>86</v>
      </c>
      <c r="AD2120" s="8"/>
      <c r="AE2120" s="8" t="s">
        <v>49</v>
      </c>
      <c r="AF2120" s="8"/>
      <c r="AG2120" s="8"/>
      <c r="AH2120" s="8" t="s">
        <v>9123</v>
      </c>
      <c r="AI2120" s="55"/>
    </row>
    <row r="2121" spans="2:35" ht="22.95" customHeight="1" outlineLevel="3" x14ac:dyDescent="0.2">
      <c r="B2121" s="74" t="s">
        <v>9177</v>
      </c>
      <c r="C2121" s="74"/>
      <c r="D2121" s="74"/>
    </row>
    <row r="2122" spans="2:35" ht="21" customHeight="1" outlineLevel="4" x14ac:dyDescent="0.2">
      <c r="B2122" s="42">
        <v>1659</v>
      </c>
      <c r="C2122" s="5" t="s">
        <v>9178</v>
      </c>
      <c r="D2122" s="5" t="s">
        <v>9179</v>
      </c>
      <c r="E2122" s="6" t="s">
        <v>9180</v>
      </c>
      <c r="F2122" s="10"/>
      <c r="G2122" s="11" t="s">
        <v>9181</v>
      </c>
      <c r="H2122" s="12">
        <v>10</v>
      </c>
      <c r="I2122" s="13" t="s">
        <v>41</v>
      </c>
      <c r="J2122" s="13"/>
      <c r="K2122" s="13"/>
      <c r="L2122" s="4">
        <v>1</v>
      </c>
      <c r="M2122" s="14">
        <f>837*(1-P3/100)</f>
        <v>837</v>
      </c>
      <c r="N2122" s="15"/>
      <c r="O2122" s="13">
        <f>M2122*N2122</f>
        <v>0</v>
      </c>
      <c r="P2122" s="22">
        <f>0.516*N2122</f>
        <v>0</v>
      </c>
      <c r="Q2122" s="23">
        <f>0.00086*N2122</f>
        <v>0</v>
      </c>
      <c r="R2122" s="24"/>
      <c r="S2122" s="25" t="s">
        <v>9182</v>
      </c>
      <c r="T2122" s="25" t="s">
        <v>43</v>
      </c>
      <c r="U2122" s="5" t="s">
        <v>8980</v>
      </c>
      <c r="V2122" s="5" t="s">
        <v>9183</v>
      </c>
      <c r="W2122" s="5" t="s">
        <v>46</v>
      </c>
      <c r="X2122" s="5"/>
      <c r="Y2122" s="5"/>
      <c r="Z2122" s="5" t="str">
        <f>HYPERLINK("https://knigipp.ru/api/getInfo/image/c38cec4c-ae4b-11ef-a267-00155d82e908")</f>
        <v>https://knigipp.ru/api/getInfo/image/c38cec4c-ae4b-11ef-a267-00155d82e908</v>
      </c>
      <c r="AA2122" s="33">
        <v>400</v>
      </c>
      <c r="AB2122" s="5" t="s">
        <v>574</v>
      </c>
      <c r="AC2122" s="5" t="s">
        <v>86</v>
      </c>
      <c r="AD2122" s="5"/>
      <c r="AE2122" s="5" t="s">
        <v>49</v>
      </c>
      <c r="AF2122" s="5"/>
      <c r="AG2122" s="5"/>
      <c r="AH2122" s="5" t="s">
        <v>9184</v>
      </c>
    </row>
    <row r="2123" spans="2:35" ht="21" customHeight="1" outlineLevel="4" x14ac:dyDescent="0.2">
      <c r="B2123" s="42">
        <v>1660</v>
      </c>
      <c r="C2123" s="5" t="s">
        <v>9185</v>
      </c>
      <c r="D2123" s="5" t="s">
        <v>9186</v>
      </c>
      <c r="E2123" s="6" t="s">
        <v>9187</v>
      </c>
      <c r="F2123" s="10"/>
      <c r="G2123" s="11" t="s">
        <v>9188</v>
      </c>
      <c r="H2123" s="12">
        <v>20</v>
      </c>
      <c r="I2123" s="13" t="s">
        <v>41</v>
      </c>
      <c r="J2123" s="13"/>
      <c r="K2123" s="13"/>
      <c r="L2123" s="4">
        <v>1</v>
      </c>
      <c r="M2123" s="14">
        <f>597*(1-P3/100)</f>
        <v>597</v>
      </c>
      <c r="N2123" s="15"/>
      <c r="O2123" s="13">
        <f>M2123*N2123</f>
        <v>0</v>
      </c>
      <c r="P2123" s="22">
        <f>0.344*N2123</f>
        <v>0</v>
      </c>
      <c r="Q2123" s="23">
        <f>0.00043*N2123</f>
        <v>0</v>
      </c>
      <c r="R2123" s="24"/>
      <c r="S2123" s="25" t="s">
        <v>9189</v>
      </c>
      <c r="T2123" s="25" t="s">
        <v>43</v>
      </c>
      <c r="U2123" s="5"/>
      <c r="V2123" s="5" t="s">
        <v>9190</v>
      </c>
      <c r="W2123" s="5" t="s">
        <v>46</v>
      </c>
      <c r="X2123" s="5"/>
      <c r="Y2123" s="5"/>
      <c r="Z2123" s="5" t="str">
        <f>HYPERLINK("https://knigipp.ru/api/getInfo/image/0f83612b-c4f8-11ef-a268-00155d82e908")</f>
        <v>https://knigipp.ru/api/getInfo/image/0f83612b-c4f8-11ef-a268-00155d82e908</v>
      </c>
      <c r="AA2123" s="33">
        <v>240</v>
      </c>
      <c r="AB2123" s="5" t="s">
        <v>598</v>
      </c>
      <c r="AC2123" s="5" t="s">
        <v>86</v>
      </c>
      <c r="AD2123" s="5"/>
      <c r="AE2123" s="5" t="s">
        <v>49</v>
      </c>
      <c r="AF2123" s="5"/>
      <c r="AG2123" s="5"/>
      <c r="AH2123" s="5" t="s">
        <v>1939</v>
      </c>
    </row>
    <row r="2124" spans="2:35" ht="21" customHeight="1" outlineLevel="4" x14ac:dyDescent="0.2">
      <c r="B2124" s="42">
        <v>1661</v>
      </c>
      <c r="C2124" s="5" t="s">
        <v>9191</v>
      </c>
      <c r="D2124" s="5" t="s">
        <v>9192</v>
      </c>
      <c r="E2124" s="6" t="s">
        <v>9193</v>
      </c>
      <c r="F2124" s="10"/>
      <c r="G2124" s="11" t="s">
        <v>9194</v>
      </c>
      <c r="H2124" s="12">
        <v>10</v>
      </c>
      <c r="I2124" s="13" t="s">
        <v>41</v>
      </c>
      <c r="J2124" s="13"/>
      <c r="K2124" s="13"/>
      <c r="L2124" s="4">
        <v>1</v>
      </c>
      <c r="M2124" s="14">
        <f>677*(1-P3/100)</f>
        <v>677</v>
      </c>
      <c r="N2124" s="15"/>
      <c r="O2124" s="13">
        <f>M2124*N2124</f>
        <v>0</v>
      </c>
      <c r="P2124" s="22">
        <f>0.402*N2124</f>
        <v>0</v>
      </c>
      <c r="Q2124" s="23">
        <f>0.00054*N2124</f>
        <v>0</v>
      </c>
      <c r="R2124" s="24"/>
      <c r="S2124" s="25" t="s">
        <v>9195</v>
      </c>
      <c r="T2124" s="25" t="s">
        <v>43</v>
      </c>
      <c r="U2124" s="5" t="s">
        <v>9114</v>
      </c>
      <c r="V2124" s="5" t="s">
        <v>9196</v>
      </c>
      <c r="W2124" s="5" t="s">
        <v>46</v>
      </c>
      <c r="X2124" s="5"/>
      <c r="Y2124" s="5"/>
      <c r="Z2124" s="5" t="str">
        <f>HYPERLINK("https://knigipp.ru/api/getInfo/image/891037b0-ae4b-11ef-a267-00155d82e908")</f>
        <v>https://knigipp.ru/api/getInfo/image/891037b0-ae4b-11ef-a267-00155d82e908</v>
      </c>
      <c r="AA2124" s="33">
        <v>288</v>
      </c>
      <c r="AB2124" s="5" t="s">
        <v>574</v>
      </c>
      <c r="AC2124" s="5" t="s">
        <v>86</v>
      </c>
      <c r="AD2124" s="5"/>
      <c r="AE2124" s="5" t="s">
        <v>49</v>
      </c>
      <c r="AF2124" s="5"/>
      <c r="AG2124" s="5"/>
      <c r="AH2124" s="5" t="s">
        <v>954</v>
      </c>
    </row>
    <row r="2125" spans="2:35" ht="21" customHeight="1" outlineLevel="4" x14ac:dyDescent="0.2">
      <c r="B2125" s="42">
        <v>1662</v>
      </c>
      <c r="C2125" s="5" t="s">
        <v>9197</v>
      </c>
      <c r="D2125" s="5" t="s">
        <v>9198</v>
      </c>
      <c r="E2125" s="6" t="s">
        <v>9199</v>
      </c>
      <c r="F2125" s="10"/>
      <c r="G2125" s="11" t="s">
        <v>9200</v>
      </c>
      <c r="H2125" s="12">
        <v>10</v>
      </c>
      <c r="I2125" s="13" t="s">
        <v>41</v>
      </c>
      <c r="J2125" s="13"/>
      <c r="K2125" s="13"/>
      <c r="L2125" s="4">
        <v>1</v>
      </c>
      <c r="M2125" s="14">
        <f>597*(1-P3/100)</f>
        <v>597</v>
      </c>
      <c r="N2125" s="15"/>
      <c r="O2125" s="13">
        <f>M2125*N2125</f>
        <v>0</v>
      </c>
      <c r="P2125" s="22">
        <f>0.105*N2125</f>
        <v>0</v>
      </c>
      <c r="Q2125" s="23">
        <f>0.00015*N2125</f>
        <v>0</v>
      </c>
      <c r="R2125" s="24"/>
      <c r="S2125" s="25" t="s">
        <v>9201</v>
      </c>
      <c r="T2125" s="25" t="s">
        <v>43</v>
      </c>
      <c r="U2125" s="5" t="s">
        <v>4057</v>
      </c>
      <c r="V2125" s="5" t="s">
        <v>9202</v>
      </c>
      <c r="W2125" s="5" t="s">
        <v>46</v>
      </c>
      <c r="X2125" s="5"/>
      <c r="Y2125" s="5"/>
      <c r="Z2125" s="5" t="str">
        <f>HYPERLINK("https://knigipp.ru/api/getInfo/image/25f74ed5-0590-11f0-a277-00155d82e908")</f>
        <v>https://knigipp.ru/api/getInfo/image/25f74ed5-0590-11f0-a277-00155d82e908</v>
      </c>
      <c r="AA2125" s="33">
        <v>240</v>
      </c>
      <c r="AB2125" s="5" t="s">
        <v>574</v>
      </c>
      <c r="AC2125" s="5" t="s">
        <v>86</v>
      </c>
      <c r="AD2125" s="5"/>
      <c r="AE2125" s="5" t="s">
        <v>49</v>
      </c>
      <c r="AF2125" s="5"/>
      <c r="AG2125" s="5"/>
      <c r="AH2125" s="5" t="s">
        <v>9184</v>
      </c>
    </row>
    <row r="2126" spans="2:35" ht="22.95" customHeight="1" outlineLevel="3" x14ac:dyDescent="0.2">
      <c r="B2126" s="74" t="s">
        <v>9203</v>
      </c>
      <c r="C2126" s="74"/>
      <c r="D2126" s="74"/>
    </row>
    <row r="2127" spans="2:35" ht="21" customHeight="1" outlineLevel="4" x14ac:dyDescent="0.2">
      <c r="B2127" s="42">
        <v>1663</v>
      </c>
      <c r="C2127" s="5" t="s">
        <v>9204</v>
      </c>
      <c r="D2127" s="5" t="s">
        <v>9205</v>
      </c>
      <c r="E2127" s="6" t="s">
        <v>9206</v>
      </c>
      <c r="F2127" s="10"/>
      <c r="G2127" s="11" t="s">
        <v>9207</v>
      </c>
      <c r="H2127" s="12">
        <v>8</v>
      </c>
      <c r="I2127" s="13" t="s">
        <v>371</v>
      </c>
      <c r="J2127" s="13"/>
      <c r="K2127" s="13"/>
      <c r="L2127" s="4">
        <v>2</v>
      </c>
      <c r="M2127" s="14">
        <f>424.49*(1-P3/100)</f>
        <v>424.49</v>
      </c>
      <c r="N2127" s="15"/>
      <c r="O2127" s="13">
        <f>M2127*N2127</f>
        <v>0</v>
      </c>
      <c r="P2127" s="22">
        <f>0.664*N2127</f>
        <v>0</v>
      </c>
      <c r="Q2127" s="23">
        <f>0.00071*N2127</f>
        <v>0</v>
      </c>
      <c r="R2127" s="24"/>
      <c r="S2127" s="25" t="s">
        <v>9208</v>
      </c>
      <c r="T2127" s="25" t="s">
        <v>43</v>
      </c>
      <c r="U2127" s="5" t="s">
        <v>9209</v>
      </c>
      <c r="V2127" s="5"/>
      <c r="W2127" s="5" t="s">
        <v>46</v>
      </c>
      <c r="X2127" s="5" t="s">
        <v>9210</v>
      </c>
      <c r="Y2127" s="5"/>
      <c r="Z2127" s="5"/>
      <c r="AA2127" s="33">
        <v>144</v>
      </c>
      <c r="AB2127" s="5"/>
      <c r="AC2127" s="5" t="s">
        <v>86</v>
      </c>
      <c r="AD2127" s="5"/>
      <c r="AE2127" s="5" t="s">
        <v>49</v>
      </c>
      <c r="AF2127" s="5"/>
      <c r="AG2127" s="5" t="s">
        <v>9211</v>
      </c>
      <c r="AH2127" s="5" t="s">
        <v>9212</v>
      </c>
    </row>
    <row r="2128" spans="2:35" ht="22.95" customHeight="1" outlineLevel="3" x14ac:dyDescent="0.2">
      <c r="B2128" s="74" t="s">
        <v>9213</v>
      </c>
      <c r="C2128" s="74"/>
      <c r="D2128" s="74"/>
    </row>
    <row r="2129" spans="2:35" ht="21" customHeight="1" outlineLevel="4" x14ac:dyDescent="0.2">
      <c r="B2129" s="43">
        <v>1664</v>
      </c>
      <c r="C2129" s="8" t="s">
        <v>9214</v>
      </c>
      <c r="D2129" s="8" t="s">
        <v>9215</v>
      </c>
      <c r="E2129" s="9" t="s">
        <v>9216</v>
      </c>
      <c r="F2129" s="16"/>
      <c r="G2129" s="17" t="s">
        <v>9217</v>
      </c>
      <c r="H2129" s="18">
        <v>10</v>
      </c>
      <c r="I2129" s="19" t="s">
        <v>41</v>
      </c>
      <c r="J2129" s="19"/>
      <c r="K2129" s="19"/>
      <c r="L2129" s="7">
        <v>2</v>
      </c>
      <c r="M2129" s="21">
        <f>377*(1-P3/100)</f>
        <v>377</v>
      </c>
      <c r="N2129" s="15"/>
      <c r="O2129" s="19">
        <f>M2129*N2129</f>
        <v>0</v>
      </c>
      <c r="P2129" s="26">
        <f>0.226*N2129</f>
        <v>0</v>
      </c>
      <c r="Q2129" s="27">
        <f>0.00055*N2129</f>
        <v>0</v>
      </c>
      <c r="R2129" s="28" t="s">
        <v>81</v>
      </c>
      <c r="S2129" s="29" t="s">
        <v>9218</v>
      </c>
      <c r="T2129" s="29" t="s">
        <v>43</v>
      </c>
      <c r="U2129" s="8" t="s">
        <v>8980</v>
      </c>
      <c r="V2129" s="8" t="s">
        <v>9219</v>
      </c>
      <c r="W2129" s="8" t="s">
        <v>2731</v>
      </c>
      <c r="X2129" s="8"/>
      <c r="Y2129" s="8"/>
      <c r="Z2129" s="8" t="str">
        <f>HYPERLINK("https://knigipp.ru/api/getInfo/image/cbbc66c1-8fd3-11f0-a284-00155d82e908")</f>
        <v>https://knigipp.ru/api/getInfo/image/cbbc66c1-8fd3-11f0-a284-00155d82e908</v>
      </c>
      <c r="AA2129" s="34">
        <v>224</v>
      </c>
      <c r="AB2129" s="8" t="s">
        <v>598</v>
      </c>
      <c r="AC2129" s="8" t="s">
        <v>48</v>
      </c>
      <c r="AD2129" s="8"/>
      <c r="AE2129" s="8" t="s">
        <v>49</v>
      </c>
      <c r="AF2129" s="8"/>
      <c r="AG2129" s="8"/>
      <c r="AH2129" s="8" t="s">
        <v>9220</v>
      </c>
      <c r="AI2129" s="55"/>
    </row>
    <row r="2130" spans="2:35" ht="21" customHeight="1" outlineLevel="4" x14ac:dyDescent="0.2">
      <c r="B2130" s="43">
        <v>1665</v>
      </c>
      <c r="C2130" s="8" t="s">
        <v>9221</v>
      </c>
      <c r="D2130" s="8" t="s">
        <v>9222</v>
      </c>
      <c r="E2130" s="9" t="s">
        <v>9223</v>
      </c>
      <c r="F2130" s="16"/>
      <c r="G2130" s="17" t="s">
        <v>9224</v>
      </c>
      <c r="H2130" s="18">
        <v>10</v>
      </c>
      <c r="I2130" s="19" t="s">
        <v>41</v>
      </c>
      <c r="J2130" s="19"/>
      <c r="K2130" s="19"/>
      <c r="L2130" s="7">
        <v>2</v>
      </c>
      <c r="M2130" s="21">
        <f>377*(1-P3/100)</f>
        <v>377</v>
      </c>
      <c r="N2130" s="15"/>
      <c r="O2130" s="19">
        <f>M2130*N2130</f>
        <v>0</v>
      </c>
      <c r="P2130" s="26">
        <f>0.227*N2130</f>
        <v>0</v>
      </c>
      <c r="Q2130" s="27">
        <f>0.00056*N2130</f>
        <v>0</v>
      </c>
      <c r="R2130" s="28" t="s">
        <v>81</v>
      </c>
      <c r="S2130" s="29" t="s">
        <v>9225</v>
      </c>
      <c r="T2130" s="29" t="s">
        <v>43</v>
      </c>
      <c r="U2130" s="8" t="s">
        <v>8583</v>
      </c>
      <c r="V2130" s="8" t="s">
        <v>9226</v>
      </c>
      <c r="W2130" s="8" t="s">
        <v>2731</v>
      </c>
      <c r="X2130" s="8"/>
      <c r="Y2130" s="8"/>
      <c r="Z2130" s="8" t="str">
        <f>HYPERLINK("https://knigipp.ru/api/getInfo/image/0178609f-8fd4-11f0-a284-00155d82e908")</f>
        <v>https://knigipp.ru/api/getInfo/image/0178609f-8fd4-11f0-a284-00155d82e908</v>
      </c>
      <c r="AA2130" s="34">
        <v>224</v>
      </c>
      <c r="AB2130" s="8" t="s">
        <v>598</v>
      </c>
      <c r="AC2130" s="8" t="s">
        <v>48</v>
      </c>
      <c r="AD2130" s="8"/>
      <c r="AE2130" s="8" t="s">
        <v>49</v>
      </c>
      <c r="AF2130" s="8"/>
      <c r="AG2130" s="8"/>
      <c r="AH2130" s="8" t="s">
        <v>9220</v>
      </c>
      <c r="AI2130" s="55"/>
    </row>
    <row r="2131" spans="2:35" ht="22.95" customHeight="1" outlineLevel="3" x14ac:dyDescent="0.2">
      <c r="B2131" s="74" t="s">
        <v>9227</v>
      </c>
      <c r="C2131" s="74"/>
      <c r="D2131" s="74"/>
    </row>
    <row r="2132" spans="2:35" ht="21" customHeight="1" outlineLevel="4" x14ac:dyDescent="0.2">
      <c r="B2132" s="42">
        <v>1666</v>
      </c>
      <c r="C2132" s="5" t="s">
        <v>9228</v>
      </c>
      <c r="D2132" s="5" t="s">
        <v>9229</v>
      </c>
      <c r="E2132" s="6" t="s">
        <v>9230</v>
      </c>
      <c r="F2132" s="10"/>
      <c r="G2132" s="11" t="s">
        <v>9231</v>
      </c>
      <c r="H2132" s="12">
        <v>24</v>
      </c>
      <c r="I2132" s="13" t="s">
        <v>371</v>
      </c>
      <c r="J2132" s="13"/>
      <c r="K2132" s="13"/>
      <c r="L2132" s="4">
        <v>4</v>
      </c>
      <c r="M2132" s="14">
        <f>174*(1-P3/100)</f>
        <v>174</v>
      </c>
      <c r="N2132" s="15"/>
      <c r="O2132" s="13">
        <f>M2132*N2132</f>
        <v>0</v>
      </c>
      <c r="P2132" s="13">
        <v>0</v>
      </c>
      <c r="Q2132" s="13">
        <v>0</v>
      </c>
      <c r="R2132" s="24"/>
      <c r="S2132" s="25" t="s">
        <v>9232</v>
      </c>
      <c r="T2132" s="25" t="s">
        <v>43</v>
      </c>
      <c r="U2132" s="5" t="s">
        <v>5271</v>
      </c>
      <c r="V2132" s="5" t="s">
        <v>9233</v>
      </c>
      <c r="W2132" s="5" t="s">
        <v>46</v>
      </c>
      <c r="X2132" s="5"/>
      <c r="Y2132" s="5"/>
      <c r="Z2132" s="5" t="str">
        <f>HYPERLINK("https://knigipp.ru/api/getInfo/image/46aeafb2-7e2b-11ee-a248-00155d82e902")</f>
        <v>https://knigipp.ru/api/getInfo/image/46aeafb2-7e2b-11ee-a248-00155d82e902</v>
      </c>
      <c r="AA2132" s="33">
        <v>48</v>
      </c>
      <c r="AB2132" s="5" t="s">
        <v>47</v>
      </c>
      <c r="AC2132" s="5" t="s">
        <v>86</v>
      </c>
      <c r="AD2132" s="5"/>
      <c r="AE2132" s="5" t="s">
        <v>49</v>
      </c>
      <c r="AF2132" s="5"/>
      <c r="AG2132" s="5"/>
      <c r="AH2132" s="5" t="s">
        <v>2908</v>
      </c>
    </row>
    <row r="2133" spans="2:35" ht="21" customHeight="1" outlineLevel="4" x14ac:dyDescent="0.2">
      <c r="B2133" s="42">
        <v>1667</v>
      </c>
      <c r="C2133" s="5" t="s">
        <v>9234</v>
      </c>
      <c r="D2133" s="5" t="s">
        <v>9235</v>
      </c>
      <c r="E2133" s="6" t="s">
        <v>9236</v>
      </c>
      <c r="F2133" s="10"/>
      <c r="G2133" s="11" t="s">
        <v>9237</v>
      </c>
      <c r="H2133" s="12">
        <v>24</v>
      </c>
      <c r="I2133" s="13" t="s">
        <v>261</v>
      </c>
      <c r="J2133" s="13"/>
      <c r="K2133" s="13"/>
      <c r="L2133" s="4">
        <v>4</v>
      </c>
      <c r="M2133" s="14">
        <f>174*(1-P3/100)</f>
        <v>174</v>
      </c>
      <c r="N2133" s="15"/>
      <c r="O2133" s="13">
        <f>M2133*N2133</f>
        <v>0</v>
      </c>
      <c r="P2133" s="13">
        <v>0</v>
      </c>
      <c r="Q2133" s="13">
        <v>0</v>
      </c>
      <c r="R2133" s="24"/>
      <c r="S2133" s="25" t="s">
        <v>9238</v>
      </c>
      <c r="T2133" s="25" t="s">
        <v>43</v>
      </c>
      <c r="U2133" s="5" t="s">
        <v>9239</v>
      </c>
      <c r="V2133" s="5" t="s">
        <v>9240</v>
      </c>
      <c r="W2133" s="5" t="s">
        <v>46</v>
      </c>
      <c r="X2133" s="5"/>
      <c r="Y2133" s="5"/>
      <c r="Z2133" s="5" t="str">
        <f>HYPERLINK("https://knigipp.ru/api/getInfo/image/d75de831-669d-11ee-a245-00155d82e902")</f>
        <v>https://knigipp.ru/api/getInfo/image/d75de831-669d-11ee-a245-00155d82e902</v>
      </c>
      <c r="AA2133" s="33">
        <v>48</v>
      </c>
      <c r="AB2133" s="5" t="s">
        <v>47</v>
      </c>
      <c r="AC2133" s="5" t="s">
        <v>86</v>
      </c>
      <c r="AD2133" s="5"/>
      <c r="AE2133" s="5" t="s">
        <v>49</v>
      </c>
      <c r="AF2133" s="5"/>
      <c r="AG2133" s="5"/>
      <c r="AH2133" s="5" t="s">
        <v>2908</v>
      </c>
    </row>
    <row r="2134" spans="2:35" ht="22.95" customHeight="1" outlineLevel="3" x14ac:dyDescent="0.2">
      <c r="B2134" s="74" t="s">
        <v>9241</v>
      </c>
      <c r="C2134" s="74"/>
      <c r="D2134" s="74"/>
    </row>
    <row r="2135" spans="2:35" ht="21" customHeight="1" outlineLevel="4" x14ac:dyDescent="0.2">
      <c r="B2135" s="42">
        <v>1668</v>
      </c>
      <c r="C2135" s="5" t="s">
        <v>9242</v>
      </c>
      <c r="D2135" s="5" t="s">
        <v>9243</v>
      </c>
      <c r="E2135" s="6" t="s">
        <v>9244</v>
      </c>
      <c r="F2135" s="10"/>
      <c r="G2135" s="11" t="s">
        <v>9245</v>
      </c>
      <c r="H2135" s="12">
        <v>8</v>
      </c>
      <c r="I2135" s="13" t="s">
        <v>41</v>
      </c>
      <c r="J2135" s="13"/>
      <c r="K2135" s="13"/>
      <c r="L2135" s="4">
        <v>2</v>
      </c>
      <c r="M2135" s="14">
        <f>577*(1-P3/100)</f>
        <v>577</v>
      </c>
      <c r="N2135" s="15"/>
      <c r="O2135" s="13">
        <f t="shared" ref="O2135:O2142" si="95">M2135*N2135</f>
        <v>0</v>
      </c>
      <c r="P2135" s="22">
        <f>0.334*N2135</f>
        <v>0</v>
      </c>
      <c r="Q2135" s="23">
        <f>0.00038*N2135</f>
        <v>0</v>
      </c>
      <c r="R2135" s="24"/>
      <c r="S2135" s="25" t="s">
        <v>9246</v>
      </c>
      <c r="T2135" s="25" t="s">
        <v>43</v>
      </c>
      <c r="U2135" s="5" t="s">
        <v>8980</v>
      </c>
      <c r="V2135" s="5"/>
      <c r="W2135" s="5" t="s">
        <v>2731</v>
      </c>
      <c r="X2135" s="5" t="s">
        <v>3900</v>
      </c>
      <c r="Y2135" s="5"/>
      <c r="Z2135" s="5" t="str">
        <f>HYPERLINK("https://knigipp.ru/api/getInfo/image/60126155-c686-11e1-81d3-5ef3fc502493")</f>
        <v>https://knigipp.ru/api/getInfo/image/60126155-c686-11e1-81d3-5ef3fc502493</v>
      </c>
      <c r="AA2135" s="33">
        <v>96</v>
      </c>
      <c r="AB2135" s="5"/>
      <c r="AC2135" s="5" t="s">
        <v>86</v>
      </c>
      <c r="AD2135" s="5"/>
      <c r="AE2135" s="5" t="s">
        <v>49</v>
      </c>
      <c r="AF2135" s="5"/>
      <c r="AG2135" s="5" t="s">
        <v>9247</v>
      </c>
      <c r="AH2135" s="5" t="s">
        <v>9248</v>
      </c>
    </row>
    <row r="2136" spans="2:35" ht="21" customHeight="1" outlineLevel="4" x14ac:dyDescent="0.2">
      <c r="B2136" s="42">
        <v>1669</v>
      </c>
      <c r="C2136" s="5" t="s">
        <v>9249</v>
      </c>
      <c r="D2136" s="5" t="s">
        <v>9250</v>
      </c>
      <c r="E2136" s="6" t="s">
        <v>9251</v>
      </c>
      <c r="F2136" s="10"/>
      <c r="G2136" s="11" t="s">
        <v>9252</v>
      </c>
      <c r="H2136" s="12">
        <v>8</v>
      </c>
      <c r="I2136" s="13" t="s">
        <v>41</v>
      </c>
      <c r="J2136" s="13"/>
      <c r="K2136" s="13"/>
      <c r="L2136" s="4">
        <v>2</v>
      </c>
      <c r="M2136" s="14">
        <f>577*(1-P3/100)</f>
        <v>577</v>
      </c>
      <c r="N2136" s="15"/>
      <c r="O2136" s="13">
        <f t="shared" si="95"/>
        <v>0</v>
      </c>
      <c r="P2136" s="22">
        <f>0.305*N2136</f>
        <v>0</v>
      </c>
      <c r="Q2136" s="23">
        <f>0.00054*N2136</f>
        <v>0</v>
      </c>
      <c r="R2136" s="24"/>
      <c r="S2136" s="25" t="s">
        <v>9253</v>
      </c>
      <c r="T2136" s="25" t="s">
        <v>43</v>
      </c>
      <c r="U2136" s="5" t="s">
        <v>9254</v>
      </c>
      <c r="V2136" s="5" t="s">
        <v>9255</v>
      </c>
      <c r="W2136" s="5" t="s">
        <v>46</v>
      </c>
      <c r="X2136" s="5" t="s">
        <v>3900</v>
      </c>
      <c r="Y2136" s="5"/>
      <c r="Z2136" s="5" t="str">
        <f>HYPERLINK("https://knigipp.ru/api/getInfo/image/6012615b-c686-11e1-81d3-5ef3fc502493")</f>
        <v>https://knigipp.ru/api/getInfo/image/6012615b-c686-11e1-81d3-5ef3fc502493</v>
      </c>
      <c r="AA2136" s="33">
        <v>96</v>
      </c>
      <c r="AB2136" s="5"/>
      <c r="AC2136" s="5" t="s">
        <v>86</v>
      </c>
      <c r="AD2136" s="5"/>
      <c r="AE2136" s="5" t="s">
        <v>49</v>
      </c>
      <c r="AF2136" s="5"/>
      <c r="AG2136" s="5" t="s">
        <v>9247</v>
      </c>
      <c r="AH2136" s="5" t="s">
        <v>9256</v>
      </c>
    </row>
    <row r="2137" spans="2:35" ht="21" customHeight="1" outlineLevel="4" x14ac:dyDescent="0.2">
      <c r="B2137" s="42">
        <v>1670</v>
      </c>
      <c r="C2137" s="5" t="s">
        <v>9257</v>
      </c>
      <c r="D2137" s="5" t="s">
        <v>9258</v>
      </c>
      <c r="E2137" s="6" t="s">
        <v>9259</v>
      </c>
      <c r="F2137" s="10"/>
      <c r="G2137" s="11" t="s">
        <v>9260</v>
      </c>
      <c r="H2137" s="12">
        <v>8</v>
      </c>
      <c r="I2137" s="13" t="s">
        <v>41</v>
      </c>
      <c r="J2137" s="13"/>
      <c r="K2137" s="13"/>
      <c r="L2137" s="4">
        <v>2</v>
      </c>
      <c r="M2137" s="14">
        <f>577*(1-P3/100)</f>
        <v>577</v>
      </c>
      <c r="N2137" s="15"/>
      <c r="O2137" s="13">
        <f t="shared" si="95"/>
        <v>0</v>
      </c>
      <c r="P2137" s="22">
        <f>0.318*N2137</f>
        <v>0</v>
      </c>
      <c r="Q2137" s="23">
        <f>0.00066*N2137</f>
        <v>0</v>
      </c>
      <c r="R2137" s="24"/>
      <c r="S2137" s="25" t="s">
        <v>9261</v>
      </c>
      <c r="T2137" s="25" t="s">
        <v>43</v>
      </c>
      <c r="U2137" s="5" t="s">
        <v>8583</v>
      </c>
      <c r="V2137" s="5"/>
      <c r="W2137" s="5" t="s">
        <v>46</v>
      </c>
      <c r="X2137" s="5" t="s">
        <v>9262</v>
      </c>
      <c r="Y2137" s="5"/>
      <c r="Z2137" s="5" t="str">
        <f>HYPERLINK("https://knigipp.ru/api/getInfo/image/6012616b-c686-11e1-81d3-5ef3fc502493")</f>
        <v>https://knigipp.ru/api/getInfo/image/6012616b-c686-11e1-81d3-5ef3fc502493</v>
      </c>
      <c r="AA2137" s="33">
        <v>96</v>
      </c>
      <c r="AB2137" s="5"/>
      <c r="AC2137" s="5" t="s">
        <v>86</v>
      </c>
      <c r="AD2137" s="5"/>
      <c r="AE2137" s="5" t="s">
        <v>49</v>
      </c>
      <c r="AF2137" s="5"/>
      <c r="AG2137" s="5" t="s">
        <v>9247</v>
      </c>
      <c r="AH2137" s="5" t="s">
        <v>9256</v>
      </c>
    </row>
    <row r="2138" spans="2:35" ht="21" customHeight="1" outlineLevel="4" x14ac:dyDescent="0.2">
      <c r="B2138" s="42">
        <v>1671</v>
      </c>
      <c r="C2138" s="5" t="s">
        <v>9263</v>
      </c>
      <c r="D2138" s="5" t="s">
        <v>9264</v>
      </c>
      <c r="E2138" s="6" t="s">
        <v>9265</v>
      </c>
      <c r="F2138" s="10"/>
      <c r="G2138" s="11" t="s">
        <v>9266</v>
      </c>
      <c r="H2138" s="12">
        <v>8</v>
      </c>
      <c r="I2138" s="13" t="s">
        <v>41</v>
      </c>
      <c r="J2138" s="13"/>
      <c r="K2138" s="13"/>
      <c r="L2138" s="4">
        <v>2</v>
      </c>
      <c r="M2138" s="14">
        <f>397*(1-P3/100)</f>
        <v>397</v>
      </c>
      <c r="N2138" s="15"/>
      <c r="O2138" s="13">
        <f t="shared" si="95"/>
        <v>0</v>
      </c>
      <c r="P2138" s="22">
        <f>0.425*N2138</f>
        <v>0</v>
      </c>
      <c r="Q2138" s="23">
        <f>0.00069*N2138</f>
        <v>0</v>
      </c>
      <c r="R2138" s="24"/>
      <c r="S2138" s="25" t="s">
        <v>9267</v>
      </c>
      <c r="T2138" s="25" t="s">
        <v>43</v>
      </c>
      <c r="U2138" s="5" t="s">
        <v>9268</v>
      </c>
      <c r="V2138" s="5"/>
      <c r="W2138" s="5" t="s">
        <v>46</v>
      </c>
      <c r="X2138" s="5"/>
      <c r="Y2138" s="5"/>
      <c r="Z2138" s="5" t="str">
        <f>HYPERLINK("https://knigipp.ru/api/getInfo/image/74a08667-da6d-11eb-a209-ac1f6b442185")</f>
        <v>https://knigipp.ru/api/getInfo/image/74a08667-da6d-11eb-a209-ac1f6b442185</v>
      </c>
      <c r="AA2138" s="33">
        <v>96</v>
      </c>
      <c r="AB2138" s="5"/>
      <c r="AC2138" s="5" t="s">
        <v>86</v>
      </c>
      <c r="AD2138" s="5"/>
      <c r="AE2138" s="5" t="s">
        <v>49</v>
      </c>
      <c r="AF2138" s="5"/>
      <c r="AG2138" s="5" t="s">
        <v>9247</v>
      </c>
      <c r="AH2138" s="5" t="s">
        <v>9256</v>
      </c>
    </row>
    <row r="2139" spans="2:35" ht="21" customHeight="1" outlineLevel="4" x14ac:dyDescent="0.2">
      <c r="B2139" s="42">
        <v>1672</v>
      </c>
      <c r="C2139" s="5" t="s">
        <v>9269</v>
      </c>
      <c r="D2139" s="5" t="s">
        <v>9270</v>
      </c>
      <c r="E2139" s="6" t="s">
        <v>9271</v>
      </c>
      <c r="F2139" s="10"/>
      <c r="G2139" s="11" t="s">
        <v>9272</v>
      </c>
      <c r="H2139" s="12">
        <v>8</v>
      </c>
      <c r="I2139" s="13" t="s">
        <v>41</v>
      </c>
      <c r="J2139" s="13"/>
      <c r="K2139" s="13"/>
      <c r="L2139" s="4">
        <v>2</v>
      </c>
      <c r="M2139" s="14">
        <f>577*(1-P3/100)</f>
        <v>577</v>
      </c>
      <c r="N2139" s="15"/>
      <c r="O2139" s="13">
        <f t="shared" si="95"/>
        <v>0</v>
      </c>
      <c r="P2139" s="22">
        <f>0.318*N2139</f>
        <v>0</v>
      </c>
      <c r="Q2139" s="23">
        <f>0.00066*N2139</f>
        <v>0</v>
      </c>
      <c r="R2139" s="24"/>
      <c r="S2139" s="25" t="s">
        <v>9273</v>
      </c>
      <c r="T2139" s="25" t="s">
        <v>43</v>
      </c>
      <c r="U2139" s="5" t="s">
        <v>630</v>
      </c>
      <c r="V2139" s="5" t="s">
        <v>9274</v>
      </c>
      <c r="W2139" s="5" t="s">
        <v>46</v>
      </c>
      <c r="X2139" s="5" t="s">
        <v>3900</v>
      </c>
      <c r="Y2139" s="5"/>
      <c r="Z2139" s="5" t="str">
        <f>HYPERLINK("https://knigipp.ru/api/getInfo/image/60126173-c686-11e1-81d3-5ef3fc502493")</f>
        <v>https://knigipp.ru/api/getInfo/image/60126173-c686-11e1-81d3-5ef3fc502493</v>
      </c>
      <c r="AA2139" s="33">
        <v>96</v>
      </c>
      <c r="AB2139" s="5"/>
      <c r="AC2139" s="5" t="s">
        <v>86</v>
      </c>
      <c r="AD2139" s="5"/>
      <c r="AE2139" s="5" t="s">
        <v>49</v>
      </c>
      <c r="AF2139" s="5"/>
      <c r="AG2139" s="5" t="s">
        <v>9247</v>
      </c>
      <c r="AH2139" s="5" t="s">
        <v>9256</v>
      </c>
    </row>
    <row r="2140" spans="2:35" ht="21" customHeight="1" outlineLevel="4" x14ac:dyDescent="0.2">
      <c r="B2140" s="42">
        <v>1673</v>
      </c>
      <c r="C2140" s="5" t="s">
        <v>9275</v>
      </c>
      <c r="D2140" s="5" t="s">
        <v>9276</v>
      </c>
      <c r="E2140" s="6" t="s">
        <v>9277</v>
      </c>
      <c r="F2140" s="10"/>
      <c r="G2140" s="11" t="s">
        <v>9278</v>
      </c>
      <c r="H2140" s="12">
        <v>8</v>
      </c>
      <c r="I2140" s="13" t="s">
        <v>371</v>
      </c>
      <c r="J2140" s="13"/>
      <c r="K2140" s="13"/>
      <c r="L2140" s="4">
        <v>2</v>
      </c>
      <c r="M2140" s="14">
        <f>449*(1-P3/100)</f>
        <v>449</v>
      </c>
      <c r="N2140" s="15"/>
      <c r="O2140" s="13">
        <f t="shared" si="95"/>
        <v>0</v>
      </c>
      <c r="P2140" s="22">
        <f>0.305*N2140</f>
        <v>0</v>
      </c>
      <c r="Q2140" s="23">
        <f>0.00054*N2140</f>
        <v>0</v>
      </c>
      <c r="R2140" s="24"/>
      <c r="S2140" s="25" t="s">
        <v>9279</v>
      </c>
      <c r="T2140" s="25" t="s">
        <v>43</v>
      </c>
      <c r="U2140" s="5" t="s">
        <v>8520</v>
      </c>
      <c r="V2140" s="5"/>
      <c r="W2140" s="5" t="s">
        <v>2731</v>
      </c>
      <c r="X2140" s="5" t="s">
        <v>9280</v>
      </c>
      <c r="Y2140" s="5"/>
      <c r="Z2140" s="5" t="str">
        <f>HYPERLINK("https://knigipp.ru/api/getInfo/image/b5048963-c115-11e6-8e44-5cf3fc4a2490")</f>
        <v>https://knigipp.ru/api/getInfo/image/b5048963-c115-11e6-8e44-5cf3fc4a2490</v>
      </c>
      <c r="AA2140" s="33">
        <v>160</v>
      </c>
      <c r="AB2140" s="5"/>
      <c r="AC2140" s="5" t="s">
        <v>86</v>
      </c>
      <c r="AD2140" s="5"/>
      <c r="AE2140" s="5" t="s">
        <v>49</v>
      </c>
      <c r="AF2140" s="5"/>
      <c r="AG2140" s="5" t="s">
        <v>9247</v>
      </c>
      <c r="AH2140" s="5" t="s">
        <v>9281</v>
      </c>
    </row>
    <row r="2141" spans="2:35" ht="21" customHeight="1" outlineLevel="4" x14ac:dyDescent="0.2">
      <c r="B2141" s="42">
        <v>1674</v>
      </c>
      <c r="C2141" s="5" t="s">
        <v>9282</v>
      </c>
      <c r="D2141" s="5" t="s">
        <v>9283</v>
      </c>
      <c r="E2141" s="6" t="s">
        <v>9284</v>
      </c>
      <c r="F2141" s="10"/>
      <c r="G2141" s="11" t="s">
        <v>9285</v>
      </c>
      <c r="H2141" s="12">
        <v>8</v>
      </c>
      <c r="I2141" s="13" t="s">
        <v>41</v>
      </c>
      <c r="J2141" s="13"/>
      <c r="K2141" s="13"/>
      <c r="L2141" s="4">
        <v>2</v>
      </c>
      <c r="M2141" s="14">
        <f>577*(1-P3/100)</f>
        <v>577</v>
      </c>
      <c r="N2141" s="15"/>
      <c r="O2141" s="13">
        <f t="shared" si="95"/>
        <v>0</v>
      </c>
      <c r="P2141" s="22">
        <f>0.338*N2141</f>
        <v>0</v>
      </c>
      <c r="Q2141" s="23">
        <f>0.00076*N2141</f>
        <v>0</v>
      </c>
      <c r="R2141" s="24"/>
      <c r="S2141" s="25" t="s">
        <v>9286</v>
      </c>
      <c r="T2141" s="25" t="s">
        <v>43</v>
      </c>
      <c r="U2141" s="5" t="s">
        <v>4057</v>
      </c>
      <c r="V2141" s="5" t="s">
        <v>9287</v>
      </c>
      <c r="W2141" s="5" t="s">
        <v>46</v>
      </c>
      <c r="X2141" s="5" t="s">
        <v>3900</v>
      </c>
      <c r="Y2141" s="5"/>
      <c r="Z2141" s="5" t="str">
        <f>HYPERLINK("https://knigipp.ru/api/getInfo/image/6012617c-c686-11e1-81d3-5ef3fc502493")</f>
        <v>https://knigipp.ru/api/getInfo/image/6012617c-c686-11e1-81d3-5ef3fc502493</v>
      </c>
      <c r="AA2141" s="33">
        <v>96</v>
      </c>
      <c r="AB2141" s="5"/>
      <c r="AC2141" s="5" t="s">
        <v>86</v>
      </c>
      <c r="AD2141" s="5"/>
      <c r="AE2141" s="5" t="s">
        <v>49</v>
      </c>
      <c r="AF2141" s="5"/>
      <c r="AG2141" s="5" t="s">
        <v>9247</v>
      </c>
      <c r="AH2141" s="5" t="s">
        <v>9256</v>
      </c>
    </row>
    <row r="2142" spans="2:35" ht="21" customHeight="1" outlineLevel="4" x14ac:dyDescent="0.2">
      <c r="B2142" s="42">
        <v>1675</v>
      </c>
      <c r="C2142" s="5" t="s">
        <v>9288</v>
      </c>
      <c r="D2142" s="5" t="s">
        <v>9289</v>
      </c>
      <c r="E2142" s="6" t="s">
        <v>9290</v>
      </c>
      <c r="F2142" s="10"/>
      <c r="G2142" s="11" t="s">
        <v>9291</v>
      </c>
      <c r="H2142" s="12">
        <v>8</v>
      </c>
      <c r="I2142" s="13" t="s">
        <v>41</v>
      </c>
      <c r="J2142" s="13"/>
      <c r="K2142" s="13"/>
      <c r="L2142" s="4">
        <v>2</v>
      </c>
      <c r="M2142" s="14">
        <f>577*(1-P3/100)</f>
        <v>577</v>
      </c>
      <c r="N2142" s="15"/>
      <c r="O2142" s="13">
        <f t="shared" si="95"/>
        <v>0</v>
      </c>
      <c r="P2142" s="22">
        <f>0.305*N2142</f>
        <v>0</v>
      </c>
      <c r="Q2142" s="23">
        <f>0.00054*N2142</f>
        <v>0</v>
      </c>
      <c r="R2142" s="24"/>
      <c r="S2142" s="25" t="s">
        <v>9292</v>
      </c>
      <c r="T2142" s="25" t="s">
        <v>43</v>
      </c>
      <c r="U2142" s="5" t="s">
        <v>9293</v>
      </c>
      <c r="V2142" s="5" t="s">
        <v>9294</v>
      </c>
      <c r="W2142" s="5" t="s">
        <v>46</v>
      </c>
      <c r="X2142" s="5" t="s">
        <v>9262</v>
      </c>
      <c r="Y2142" s="5"/>
      <c r="Z2142" s="5" t="str">
        <f>HYPERLINK("https://knigipp.ru/api/getInfo/image/02fa2744-e6f6-11e6-a3ac-5cf3fc4a2490")</f>
        <v>https://knigipp.ru/api/getInfo/image/02fa2744-e6f6-11e6-a3ac-5cf3fc4a2490</v>
      </c>
      <c r="AA2142" s="33">
        <v>96</v>
      </c>
      <c r="AB2142" s="5"/>
      <c r="AC2142" s="5" t="s">
        <v>86</v>
      </c>
      <c r="AD2142" s="5"/>
      <c r="AE2142" s="5" t="s">
        <v>49</v>
      </c>
      <c r="AF2142" s="5"/>
      <c r="AG2142" s="5" t="s">
        <v>9247</v>
      </c>
      <c r="AH2142" s="5" t="s">
        <v>9256</v>
      </c>
    </row>
    <row r="2143" spans="2:35" ht="22.95" customHeight="1" outlineLevel="3" x14ac:dyDescent="0.2">
      <c r="B2143" s="74" t="s">
        <v>9295</v>
      </c>
      <c r="C2143" s="74"/>
      <c r="D2143" s="74"/>
    </row>
    <row r="2144" spans="2:35" ht="21" customHeight="1" outlineLevel="4" x14ac:dyDescent="0.2">
      <c r="B2144" s="42">
        <v>1676</v>
      </c>
      <c r="C2144" s="5" t="s">
        <v>9296</v>
      </c>
      <c r="D2144" s="5" t="s">
        <v>9297</v>
      </c>
      <c r="E2144" s="6" t="s">
        <v>9298</v>
      </c>
      <c r="F2144" s="10"/>
      <c r="G2144" s="11" t="s">
        <v>9299</v>
      </c>
      <c r="H2144" s="12">
        <v>20</v>
      </c>
      <c r="I2144" s="13" t="s">
        <v>261</v>
      </c>
      <c r="J2144" s="13"/>
      <c r="K2144" s="13"/>
      <c r="L2144" s="4">
        <v>4</v>
      </c>
      <c r="M2144" s="14">
        <f>179*(1-P3/100)</f>
        <v>179</v>
      </c>
      <c r="N2144" s="15"/>
      <c r="O2144" s="13">
        <f>M2144*N2144</f>
        <v>0</v>
      </c>
      <c r="P2144" s="22">
        <f>0.178*N2144</f>
        <v>0</v>
      </c>
      <c r="Q2144" s="23">
        <f>0.00011*N2144</f>
        <v>0</v>
      </c>
      <c r="R2144" s="24"/>
      <c r="S2144" s="25" t="s">
        <v>9300</v>
      </c>
      <c r="T2144" s="25" t="s">
        <v>43</v>
      </c>
      <c r="U2144" s="5" t="s">
        <v>7981</v>
      </c>
      <c r="V2144" s="5"/>
      <c r="W2144" s="5" t="s">
        <v>46</v>
      </c>
      <c r="X2144" s="5"/>
      <c r="Y2144" s="5"/>
      <c r="Z2144" s="5" t="str">
        <f>HYPERLINK("https://knigipp.ru/api/getInfo/image/ac7994f4-4544-11ed-a216-ac1f6b442185")</f>
        <v>https://knigipp.ru/api/getInfo/image/ac7994f4-4544-11ed-a216-ac1f6b442185</v>
      </c>
      <c r="AA2144" s="33">
        <v>80</v>
      </c>
      <c r="AB2144" s="5"/>
      <c r="AC2144" s="5" t="s">
        <v>86</v>
      </c>
      <c r="AD2144" s="5"/>
      <c r="AE2144" s="5" t="s">
        <v>49</v>
      </c>
      <c r="AF2144" s="5"/>
      <c r="AG2144" s="5"/>
      <c r="AH2144" s="5" t="s">
        <v>9301</v>
      </c>
    </row>
    <row r="2145" spans="2:34" ht="21" customHeight="1" outlineLevel="4" x14ac:dyDescent="0.2">
      <c r="B2145" s="42">
        <v>1677</v>
      </c>
      <c r="C2145" s="5" t="s">
        <v>9302</v>
      </c>
      <c r="D2145" s="5" t="s">
        <v>9303</v>
      </c>
      <c r="E2145" s="6" t="s">
        <v>9304</v>
      </c>
      <c r="F2145" s="10"/>
      <c r="G2145" s="11" t="s">
        <v>9305</v>
      </c>
      <c r="H2145" s="12">
        <v>20</v>
      </c>
      <c r="I2145" s="13" t="s">
        <v>41</v>
      </c>
      <c r="J2145" s="13"/>
      <c r="K2145" s="13"/>
      <c r="L2145" s="4">
        <v>4</v>
      </c>
      <c r="M2145" s="14">
        <f>179*(1-P3/100)</f>
        <v>179</v>
      </c>
      <c r="N2145" s="15"/>
      <c r="O2145" s="13">
        <f>M2145*N2145</f>
        <v>0</v>
      </c>
      <c r="P2145" s="22">
        <f>0.196*N2145</f>
        <v>0</v>
      </c>
      <c r="Q2145" s="23">
        <f>0.00031*N2145</f>
        <v>0</v>
      </c>
      <c r="R2145" s="24"/>
      <c r="S2145" s="25" t="s">
        <v>9306</v>
      </c>
      <c r="T2145" s="25" t="s">
        <v>43</v>
      </c>
      <c r="U2145" s="5" t="s">
        <v>56</v>
      </c>
      <c r="V2145" s="5" t="s">
        <v>9307</v>
      </c>
      <c r="W2145" s="5" t="s">
        <v>46</v>
      </c>
      <c r="X2145" s="5"/>
      <c r="Y2145" s="5"/>
      <c r="Z2145" s="5" t="str">
        <f>HYPERLINK("https://knigipp.ru/api/getInfo/image/08999d56-11a1-11ed-a215-ac1f6b442185")</f>
        <v>https://knigipp.ru/api/getInfo/image/08999d56-11a1-11ed-a215-ac1f6b442185</v>
      </c>
      <c r="AA2145" s="33">
        <v>96</v>
      </c>
      <c r="AB2145" s="5" t="s">
        <v>47</v>
      </c>
      <c r="AC2145" s="5" t="s">
        <v>86</v>
      </c>
      <c r="AD2145" s="5"/>
      <c r="AE2145" s="5" t="s">
        <v>49</v>
      </c>
      <c r="AF2145" s="5"/>
      <c r="AG2145" s="5"/>
      <c r="AH2145" s="5" t="s">
        <v>9301</v>
      </c>
    </row>
    <row r="2146" spans="2:34" ht="21" customHeight="1" outlineLevel="4" x14ac:dyDescent="0.2">
      <c r="B2146" s="42">
        <v>1678</v>
      </c>
      <c r="C2146" s="5" t="s">
        <v>9308</v>
      </c>
      <c r="D2146" s="5" t="s">
        <v>9309</v>
      </c>
      <c r="E2146" s="6" t="s">
        <v>9310</v>
      </c>
      <c r="F2146" s="10"/>
      <c r="G2146" s="11" t="s">
        <v>8941</v>
      </c>
      <c r="H2146" s="12">
        <v>20</v>
      </c>
      <c r="I2146" s="13" t="s">
        <v>41</v>
      </c>
      <c r="J2146" s="13"/>
      <c r="K2146" s="13"/>
      <c r="L2146" s="4">
        <v>3</v>
      </c>
      <c r="M2146" s="14">
        <f>209*(1-P3/100)</f>
        <v>209</v>
      </c>
      <c r="N2146" s="15"/>
      <c r="O2146" s="13">
        <f>M2146*N2146</f>
        <v>0</v>
      </c>
      <c r="P2146" s="13">
        <v>0</v>
      </c>
      <c r="Q2146" s="13">
        <v>0</v>
      </c>
      <c r="R2146" s="24"/>
      <c r="S2146" s="25" t="s">
        <v>9311</v>
      </c>
      <c r="T2146" s="25" t="s">
        <v>43</v>
      </c>
      <c r="U2146" s="5" t="s">
        <v>8943</v>
      </c>
      <c r="V2146" s="5"/>
      <c r="W2146" s="5" t="s">
        <v>46</v>
      </c>
      <c r="X2146" s="5"/>
      <c r="Y2146" s="5"/>
      <c r="Z2146" s="5" t="str">
        <f>HYPERLINK("https://knigipp.ru/api/getInfo/image/4dafb341-11a1-11ed-a215-ac1f6b442185")</f>
        <v>https://knigipp.ru/api/getInfo/image/4dafb341-11a1-11ed-a215-ac1f6b442185</v>
      </c>
      <c r="AA2146" s="33">
        <v>128</v>
      </c>
      <c r="AB2146" s="5" t="s">
        <v>47</v>
      </c>
      <c r="AC2146" s="5" t="s">
        <v>86</v>
      </c>
      <c r="AD2146" s="5"/>
      <c r="AE2146" s="5" t="s">
        <v>49</v>
      </c>
      <c r="AF2146" s="5"/>
      <c r="AG2146" s="5"/>
      <c r="AH2146" s="5" t="s">
        <v>9301</v>
      </c>
    </row>
    <row r="2147" spans="2:34" ht="22.95" customHeight="1" outlineLevel="3" x14ac:dyDescent="0.2">
      <c r="B2147" s="74" t="s">
        <v>9312</v>
      </c>
      <c r="C2147" s="74"/>
      <c r="D2147" s="74"/>
    </row>
    <row r="2148" spans="2:34" ht="21" customHeight="1" outlineLevel="4" x14ac:dyDescent="0.2">
      <c r="B2148" s="42">
        <v>1679</v>
      </c>
      <c r="C2148" s="5" t="s">
        <v>9313</v>
      </c>
      <c r="D2148" s="5" t="s">
        <v>9314</v>
      </c>
      <c r="E2148" s="6" t="s">
        <v>9315</v>
      </c>
      <c r="F2148" s="10"/>
      <c r="G2148" s="11" t="s">
        <v>9316</v>
      </c>
      <c r="H2148" s="12">
        <v>20</v>
      </c>
      <c r="I2148" s="13" t="s">
        <v>371</v>
      </c>
      <c r="J2148" s="13"/>
      <c r="K2148" s="13"/>
      <c r="L2148" s="4">
        <v>3</v>
      </c>
      <c r="M2148" s="14">
        <f>199*(1-P3/100)</f>
        <v>199</v>
      </c>
      <c r="N2148" s="15"/>
      <c r="O2148" s="13">
        <f>M2148*N2148</f>
        <v>0</v>
      </c>
      <c r="P2148" s="22">
        <f>0.206*N2148</f>
        <v>0</v>
      </c>
      <c r="Q2148" s="23">
        <f>0.00028*N2148</f>
        <v>0</v>
      </c>
      <c r="R2148" s="24"/>
      <c r="S2148" s="25" t="s">
        <v>9317</v>
      </c>
      <c r="T2148" s="25" t="s">
        <v>43</v>
      </c>
      <c r="U2148" s="5" t="s">
        <v>9318</v>
      </c>
      <c r="V2148" s="5" t="s">
        <v>9319</v>
      </c>
      <c r="W2148" s="5" t="s">
        <v>46</v>
      </c>
      <c r="X2148" s="5"/>
      <c r="Y2148" s="5"/>
      <c r="Z2148" s="5" t="str">
        <f>HYPERLINK("https://knigipp.ru/api/getInfo/image/934eac82-f395-11eb-a20d-ac1f6b442185")</f>
        <v>https://knigipp.ru/api/getInfo/image/934eac82-f395-11eb-a20d-ac1f6b442185</v>
      </c>
      <c r="AA2148" s="33">
        <v>24</v>
      </c>
      <c r="AB2148" s="5"/>
      <c r="AC2148" s="5" t="s">
        <v>86</v>
      </c>
      <c r="AD2148" s="5"/>
      <c r="AE2148" s="5" t="s">
        <v>49</v>
      </c>
      <c r="AF2148" s="5"/>
      <c r="AG2148" s="5"/>
      <c r="AH2148" s="5" t="s">
        <v>9320</v>
      </c>
    </row>
    <row r="2149" spans="2:34" ht="22.95" customHeight="1" outlineLevel="3" x14ac:dyDescent="0.2">
      <c r="B2149" s="74" t="s">
        <v>9321</v>
      </c>
      <c r="C2149" s="74"/>
      <c r="D2149" s="74"/>
    </row>
    <row r="2150" spans="2:34" ht="21" customHeight="1" outlineLevel="4" x14ac:dyDescent="0.2">
      <c r="B2150" s="42">
        <v>1680</v>
      </c>
      <c r="C2150" s="5" t="s">
        <v>9322</v>
      </c>
      <c r="D2150" s="5" t="s">
        <v>9323</v>
      </c>
      <c r="E2150" s="6" t="s">
        <v>9324</v>
      </c>
      <c r="F2150" s="10"/>
      <c r="G2150" s="11" t="s">
        <v>9325</v>
      </c>
      <c r="H2150" s="12">
        <v>20</v>
      </c>
      <c r="I2150" s="13" t="s">
        <v>41</v>
      </c>
      <c r="J2150" s="13"/>
      <c r="K2150" s="13"/>
      <c r="L2150" s="4">
        <v>3</v>
      </c>
      <c r="M2150" s="14">
        <f>217*(1-P3/100)</f>
        <v>217</v>
      </c>
      <c r="N2150" s="15"/>
      <c r="O2150" s="13">
        <f t="shared" ref="O2150:O2155" si="96">M2150*N2150</f>
        <v>0</v>
      </c>
      <c r="P2150" s="22">
        <f>0.138*N2150</f>
        <v>0</v>
      </c>
      <c r="Q2150" s="23">
        <f>0.00025*N2150</f>
        <v>0</v>
      </c>
      <c r="R2150" s="24"/>
      <c r="S2150" s="25" t="s">
        <v>9326</v>
      </c>
      <c r="T2150" s="25" t="s">
        <v>43</v>
      </c>
      <c r="U2150" s="5" t="s">
        <v>8583</v>
      </c>
      <c r="V2150" s="5" t="s">
        <v>9327</v>
      </c>
      <c r="W2150" s="5" t="s">
        <v>46</v>
      </c>
      <c r="X2150" s="5"/>
      <c r="Y2150" s="5"/>
      <c r="Z2150" s="5" t="str">
        <f>HYPERLINK("https://knigipp.ru/api/getInfo/image/d88d34e7-3d55-11f0-a27c-00155d82e908")</f>
        <v>https://knigipp.ru/api/getInfo/image/d88d34e7-3d55-11f0-a27c-00155d82e908</v>
      </c>
      <c r="AA2150" s="33">
        <v>48</v>
      </c>
      <c r="AB2150" s="5" t="s">
        <v>47</v>
      </c>
      <c r="AC2150" s="5" t="s">
        <v>86</v>
      </c>
      <c r="AD2150" s="5"/>
      <c r="AE2150" s="5" t="s">
        <v>49</v>
      </c>
      <c r="AF2150" s="5"/>
      <c r="AG2150" s="5"/>
      <c r="AH2150" s="5" t="s">
        <v>8293</v>
      </c>
    </row>
    <row r="2151" spans="2:34" ht="21" customHeight="1" outlineLevel="4" x14ac:dyDescent="0.2">
      <c r="B2151" s="42">
        <v>1681</v>
      </c>
      <c r="C2151" s="5" t="s">
        <v>9328</v>
      </c>
      <c r="D2151" s="5" t="s">
        <v>9329</v>
      </c>
      <c r="E2151" s="6" t="s">
        <v>9330</v>
      </c>
      <c r="F2151" s="10"/>
      <c r="G2151" s="11" t="s">
        <v>9325</v>
      </c>
      <c r="H2151" s="12">
        <v>20</v>
      </c>
      <c r="I2151" s="13" t="s">
        <v>41</v>
      </c>
      <c r="J2151" s="13"/>
      <c r="K2151" s="13"/>
      <c r="L2151" s="4">
        <v>3</v>
      </c>
      <c r="M2151" s="14">
        <f>217*(1-P3/100)</f>
        <v>217</v>
      </c>
      <c r="N2151" s="15"/>
      <c r="O2151" s="13">
        <f t="shared" si="96"/>
        <v>0</v>
      </c>
      <c r="P2151" s="22">
        <f>0.141*N2151</f>
        <v>0</v>
      </c>
      <c r="Q2151" s="23">
        <f>0.00025*N2151</f>
        <v>0</v>
      </c>
      <c r="R2151" s="24"/>
      <c r="S2151" s="25" t="s">
        <v>9331</v>
      </c>
      <c r="T2151" s="25" t="s">
        <v>43</v>
      </c>
      <c r="U2151" s="5" t="s">
        <v>9293</v>
      </c>
      <c r="V2151" s="5" t="s">
        <v>9332</v>
      </c>
      <c r="W2151" s="5" t="s">
        <v>46</v>
      </c>
      <c r="X2151" s="5"/>
      <c r="Y2151" s="5"/>
      <c r="Z2151" s="5" t="str">
        <f>HYPERLINK("https://knigipp.ru/api/getInfo/image/2780f380-3d56-11f0-a27c-00155d82e908")</f>
        <v>https://knigipp.ru/api/getInfo/image/2780f380-3d56-11f0-a27c-00155d82e908</v>
      </c>
      <c r="AA2151" s="33">
        <v>48</v>
      </c>
      <c r="AB2151" s="5" t="s">
        <v>47</v>
      </c>
      <c r="AC2151" s="5" t="s">
        <v>86</v>
      </c>
      <c r="AD2151" s="5"/>
      <c r="AE2151" s="5" t="s">
        <v>49</v>
      </c>
      <c r="AF2151" s="5"/>
      <c r="AG2151" s="5"/>
      <c r="AH2151" s="5" t="s">
        <v>8293</v>
      </c>
    </row>
    <row r="2152" spans="2:34" ht="21" customHeight="1" outlineLevel="4" x14ac:dyDescent="0.2">
      <c r="B2152" s="42">
        <v>1682</v>
      </c>
      <c r="C2152" s="5" t="s">
        <v>9333</v>
      </c>
      <c r="D2152" s="5" t="s">
        <v>9334</v>
      </c>
      <c r="E2152" s="6" t="s">
        <v>9335</v>
      </c>
      <c r="F2152" s="10"/>
      <c r="G2152" s="11" t="s">
        <v>9325</v>
      </c>
      <c r="H2152" s="12">
        <v>20</v>
      </c>
      <c r="I2152" s="13" t="s">
        <v>41</v>
      </c>
      <c r="J2152" s="13"/>
      <c r="K2152" s="13"/>
      <c r="L2152" s="4">
        <v>3</v>
      </c>
      <c r="M2152" s="14">
        <f>217*(1-P3/100)</f>
        <v>217</v>
      </c>
      <c r="N2152" s="15"/>
      <c r="O2152" s="13">
        <f t="shared" si="96"/>
        <v>0</v>
      </c>
      <c r="P2152" s="22">
        <f>0.139*N2152</f>
        <v>0</v>
      </c>
      <c r="Q2152" s="23">
        <f>0.00028*N2152</f>
        <v>0</v>
      </c>
      <c r="R2152" s="24"/>
      <c r="S2152" s="25" t="s">
        <v>9336</v>
      </c>
      <c r="T2152" s="25" t="s">
        <v>43</v>
      </c>
      <c r="U2152" s="5" t="s">
        <v>630</v>
      </c>
      <c r="V2152" s="5" t="s">
        <v>9337</v>
      </c>
      <c r="W2152" s="5" t="s">
        <v>46</v>
      </c>
      <c r="X2152" s="5"/>
      <c r="Y2152" s="5"/>
      <c r="Z2152" s="5" t="str">
        <f>HYPERLINK("https://knigipp.ru/api/getInfo/image/fe74da14-3d55-11f0-a27c-00155d82e908")</f>
        <v>https://knigipp.ru/api/getInfo/image/fe74da14-3d55-11f0-a27c-00155d82e908</v>
      </c>
      <c r="AA2152" s="33">
        <v>48</v>
      </c>
      <c r="AB2152" s="5" t="s">
        <v>47</v>
      </c>
      <c r="AC2152" s="5" t="s">
        <v>86</v>
      </c>
      <c r="AD2152" s="5"/>
      <c r="AE2152" s="5" t="s">
        <v>49</v>
      </c>
      <c r="AF2152" s="5"/>
      <c r="AG2152" s="5"/>
      <c r="AH2152" s="5" t="s">
        <v>8293</v>
      </c>
    </row>
    <row r="2153" spans="2:34" ht="21" customHeight="1" outlineLevel="4" x14ac:dyDescent="0.2">
      <c r="B2153" s="42">
        <v>1683</v>
      </c>
      <c r="C2153" s="5" t="s">
        <v>9338</v>
      </c>
      <c r="D2153" s="5" t="s">
        <v>9339</v>
      </c>
      <c r="E2153" s="6" t="s">
        <v>9340</v>
      </c>
      <c r="F2153" s="10"/>
      <c r="G2153" s="11" t="s">
        <v>9325</v>
      </c>
      <c r="H2153" s="12">
        <v>20</v>
      </c>
      <c r="I2153" s="13" t="s">
        <v>41</v>
      </c>
      <c r="J2153" s="13"/>
      <c r="K2153" s="13"/>
      <c r="L2153" s="4">
        <v>3</v>
      </c>
      <c r="M2153" s="14">
        <f>217*(1-P3/100)</f>
        <v>217</v>
      </c>
      <c r="N2153" s="15"/>
      <c r="O2153" s="13">
        <f t="shared" si="96"/>
        <v>0</v>
      </c>
      <c r="P2153" s="22">
        <f>0.218*N2153</f>
        <v>0</v>
      </c>
      <c r="Q2153" s="23">
        <f>0.00037*N2153</f>
        <v>0</v>
      </c>
      <c r="R2153" s="24"/>
      <c r="S2153" s="25" t="s">
        <v>9341</v>
      </c>
      <c r="T2153" s="25" t="s">
        <v>43</v>
      </c>
      <c r="U2153" s="5"/>
      <c r="V2153" s="5" t="s">
        <v>9342</v>
      </c>
      <c r="W2153" s="5" t="s">
        <v>46</v>
      </c>
      <c r="X2153" s="5"/>
      <c r="Y2153" s="5"/>
      <c r="Z2153" s="5" t="str">
        <f>HYPERLINK("https://knigipp.ru/api/getInfo/image/93ffd249-3d55-11f0-a27c-00155d82e908")</f>
        <v>https://knigipp.ru/api/getInfo/image/93ffd249-3d55-11f0-a27c-00155d82e908</v>
      </c>
      <c r="AA2153" s="33">
        <v>48</v>
      </c>
      <c r="AB2153" s="5" t="s">
        <v>47</v>
      </c>
      <c r="AC2153" s="5" t="s">
        <v>86</v>
      </c>
      <c r="AD2153" s="5"/>
      <c r="AE2153" s="5" t="s">
        <v>49</v>
      </c>
      <c r="AF2153" s="5"/>
      <c r="AG2153" s="5"/>
      <c r="AH2153" s="5" t="s">
        <v>8293</v>
      </c>
    </row>
    <row r="2154" spans="2:34" ht="21" customHeight="1" outlineLevel="4" x14ac:dyDescent="0.2">
      <c r="B2154" s="42">
        <v>1684</v>
      </c>
      <c r="C2154" s="5" t="s">
        <v>9343</v>
      </c>
      <c r="D2154" s="5" t="s">
        <v>9344</v>
      </c>
      <c r="E2154" s="6" t="s">
        <v>9345</v>
      </c>
      <c r="F2154" s="10"/>
      <c r="G2154" s="11" t="s">
        <v>9325</v>
      </c>
      <c r="H2154" s="12">
        <v>20</v>
      </c>
      <c r="I2154" s="13" t="s">
        <v>41</v>
      </c>
      <c r="J2154" s="13"/>
      <c r="K2154" s="13"/>
      <c r="L2154" s="4">
        <v>3</v>
      </c>
      <c r="M2154" s="14">
        <f>217*(1-P3/100)</f>
        <v>217</v>
      </c>
      <c r="N2154" s="15"/>
      <c r="O2154" s="13">
        <f t="shared" si="96"/>
        <v>0</v>
      </c>
      <c r="P2154" s="22">
        <f>0.218*N2154</f>
        <v>0</v>
      </c>
      <c r="Q2154" s="23">
        <f>0.00037*N2154</f>
        <v>0</v>
      </c>
      <c r="R2154" s="24"/>
      <c r="S2154" s="25" t="s">
        <v>9346</v>
      </c>
      <c r="T2154" s="25" t="s">
        <v>43</v>
      </c>
      <c r="U2154" s="5"/>
      <c r="V2154" s="5" t="s">
        <v>9347</v>
      </c>
      <c r="W2154" s="5" t="s">
        <v>46</v>
      </c>
      <c r="X2154" s="5"/>
      <c r="Y2154" s="5"/>
      <c r="Z2154" s="5" t="str">
        <f>HYPERLINK("https://knigipp.ru/api/getInfo/image/ba7b3357-3d55-11f0-a27c-00155d82e908")</f>
        <v>https://knigipp.ru/api/getInfo/image/ba7b3357-3d55-11f0-a27c-00155d82e908</v>
      </c>
      <c r="AA2154" s="33">
        <v>48</v>
      </c>
      <c r="AB2154" s="5" t="s">
        <v>47</v>
      </c>
      <c r="AC2154" s="5" t="s">
        <v>86</v>
      </c>
      <c r="AD2154" s="5"/>
      <c r="AE2154" s="5" t="s">
        <v>49</v>
      </c>
      <c r="AF2154" s="5"/>
      <c r="AG2154" s="5"/>
      <c r="AH2154" s="5" t="s">
        <v>8293</v>
      </c>
    </row>
    <row r="2155" spans="2:34" ht="21" customHeight="1" outlineLevel="4" x14ac:dyDescent="0.2">
      <c r="B2155" s="42">
        <v>1685</v>
      </c>
      <c r="C2155" s="5" t="s">
        <v>9348</v>
      </c>
      <c r="D2155" s="5" t="s">
        <v>9349</v>
      </c>
      <c r="E2155" s="6" t="s">
        <v>9350</v>
      </c>
      <c r="F2155" s="10"/>
      <c r="G2155" s="11" t="s">
        <v>9325</v>
      </c>
      <c r="H2155" s="12">
        <v>20</v>
      </c>
      <c r="I2155" s="13" t="s">
        <v>41</v>
      </c>
      <c r="J2155" s="13"/>
      <c r="K2155" s="13"/>
      <c r="L2155" s="4">
        <v>3</v>
      </c>
      <c r="M2155" s="14">
        <f>217*(1-P3/100)</f>
        <v>217</v>
      </c>
      <c r="N2155" s="15"/>
      <c r="O2155" s="13">
        <f t="shared" si="96"/>
        <v>0</v>
      </c>
      <c r="P2155" s="22">
        <f>0.218*N2155</f>
        <v>0</v>
      </c>
      <c r="Q2155" s="23">
        <f>0.00037*N2155</f>
        <v>0</v>
      </c>
      <c r="R2155" s="24"/>
      <c r="S2155" s="25" t="s">
        <v>9351</v>
      </c>
      <c r="T2155" s="25" t="s">
        <v>43</v>
      </c>
      <c r="U2155" s="5" t="s">
        <v>9114</v>
      </c>
      <c r="V2155" s="5" t="s">
        <v>9352</v>
      </c>
      <c r="W2155" s="5" t="s">
        <v>46</v>
      </c>
      <c r="X2155" s="5"/>
      <c r="Y2155" s="5"/>
      <c r="Z2155" s="5" t="str">
        <f>HYPERLINK("https://knigipp.ru/api/getInfo/image/6ced091c-3d55-11f0-a27c-00155d82e908")</f>
        <v>https://knigipp.ru/api/getInfo/image/6ced091c-3d55-11f0-a27c-00155d82e908</v>
      </c>
      <c r="AA2155" s="33">
        <v>48</v>
      </c>
      <c r="AB2155" s="5" t="s">
        <v>47</v>
      </c>
      <c r="AC2155" s="5" t="s">
        <v>86</v>
      </c>
      <c r="AD2155" s="5"/>
      <c r="AE2155" s="5" t="s">
        <v>49</v>
      </c>
      <c r="AF2155" s="5"/>
      <c r="AG2155" s="5"/>
      <c r="AH2155" s="5" t="s">
        <v>8293</v>
      </c>
    </row>
    <row r="2156" spans="2:34" ht="22.95" customHeight="1" outlineLevel="3" x14ac:dyDescent="0.2">
      <c r="B2156" s="74" t="s">
        <v>9353</v>
      </c>
      <c r="C2156" s="74"/>
      <c r="D2156" s="74"/>
    </row>
    <row r="2157" spans="2:34" ht="21" customHeight="1" outlineLevel="4" x14ac:dyDescent="0.2">
      <c r="B2157" s="42">
        <v>1686</v>
      </c>
      <c r="C2157" s="5" t="s">
        <v>9354</v>
      </c>
      <c r="D2157" s="5" t="s">
        <v>9355</v>
      </c>
      <c r="E2157" s="6" t="s">
        <v>9356</v>
      </c>
      <c r="F2157" s="10"/>
      <c r="G2157" s="11" t="s">
        <v>9357</v>
      </c>
      <c r="H2157" s="12">
        <v>20</v>
      </c>
      <c r="I2157" s="13" t="s">
        <v>41</v>
      </c>
      <c r="J2157" s="13"/>
      <c r="K2157" s="13"/>
      <c r="L2157" s="4">
        <v>2</v>
      </c>
      <c r="M2157" s="14">
        <f>345*(1-P3/100)</f>
        <v>345</v>
      </c>
      <c r="N2157" s="15"/>
      <c r="O2157" s="13">
        <f>M2157*N2157</f>
        <v>0</v>
      </c>
      <c r="P2157" s="32">
        <f>0.14*N2157</f>
        <v>0</v>
      </c>
      <c r="Q2157" s="23">
        <f>0.00012*N2157</f>
        <v>0</v>
      </c>
      <c r="R2157" s="24"/>
      <c r="S2157" s="25" t="s">
        <v>9358</v>
      </c>
      <c r="T2157" s="25" t="s">
        <v>43</v>
      </c>
      <c r="U2157" s="5" t="s">
        <v>9359</v>
      </c>
      <c r="V2157" s="5" t="s">
        <v>9360</v>
      </c>
      <c r="W2157" s="5" t="s">
        <v>46</v>
      </c>
      <c r="X2157" s="5"/>
      <c r="Y2157" s="5"/>
      <c r="Z2157" s="5" t="str">
        <f>HYPERLINK("https://knigipp.ru/api/getInfo/image/5d9aa400-3d56-11f0-a27c-00155d82e908")</f>
        <v>https://knigipp.ru/api/getInfo/image/5d9aa400-3d56-11f0-a27c-00155d82e908</v>
      </c>
      <c r="AA2157" s="33">
        <v>48</v>
      </c>
      <c r="AB2157" s="5" t="s">
        <v>47</v>
      </c>
      <c r="AC2157" s="5" t="s">
        <v>86</v>
      </c>
      <c r="AD2157" s="5"/>
      <c r="AE2157" s="5" t="s">
        <v>49</v>
      </c>
      <c r="AF2157" s="5"/>
      <c r="AG2157" s="5"/>
      <c r="AH2157" s="5" t="s">
        <v>8293</v>
      </c>
    </row>
    <row r="2158" spans="2:34" ht="21" customHeight="1" outlineLevel="4" x14ac:dyDescent="0.2">
      <c r="B2158" s="42">
        <v>1687</v>
      </c>
      <c r="C2158" s="5" t="s">
        <v>9361</v>
      </c>
      <c r="D2158" s="5" t="s">
        <v>9362</v>
      </c>
      <c r="E2158" s="6" t="s">
        <v>9363</v>
      </c>
      <c r="F2158" s="10"/>
      <c r="G2158" s="11" t="s">
        <v>9364</v>
      </c>
      <c r="H2158" s="12">
        <v>20</v>
      </c>
      <c r="I2158" s="13" t="s">
        <v>41</v>
      </c>
      <c r="J2158" s="13"/>
      <c r="K2158" s="13"/>
      <c r="L2158" s="4">
        <v>2</v>
      </c>
      <c r="M2158" s="14">
        <f>345*(1-P3/100)</f>
        <v>345</v>
      </c>
      <c r="N2158" s="15"/>
      <c r="O2158" s="13">
        <f>M2158*N2158</f>
        <v>0</v>
      </c>
      <c r="P2158" s="22">
        <f>0.143*N2158</f>
        <v>0</v>
      </c>
      <c r="Q2158" s="23">
        <f>0.00012*N2158</f>
        <v>0</v>
      </c>
      <c r="R2158" s="24"/>
      <c r="S2158" s="25" t="s">
        <v>9365</v>
      </c>
      <c r="T2158" s="25" t="s">
        <v>43</v>
      </c>
      <c r="U2158" s="5" t="s">
        <v>9359</v>
      </c>
      <c r="V2158" s="5" t="s">
        <v>9366</v>
      </c>
      <c r="W2158" s="5" t="s">
        <v>46</v>
      </c>
      <c r="X2158" s="5"/>
      <c r="Y2158" s="5"/>
      <c r="Z2158" s="5" t="str">
        <f>HYPERLINK("https://knigipp.ru/api/getInfo/image/36af824a-3d56-11f0-a27c-00155d82e908")</f>
        <v>https://knigipp.ru/api/getInfo/image/36af824a-3d56-11f0-a27c-00155d82e908</v>
      </c>
      <c r="AA2158" s="33">
        <v>48</v>
      </c>
      <c r="AB2158" s="5" t="s">
        <v>47</v>
      </c>
      <c r="AC2158" s="5" t="s">
        <v>86</v>
      </c>
      <c r="AD2158" s="5"/>
      <c r="AE2158" s="5" t="s">
        <v>49</v>
      </c>
      <c r="AF2158" s="5"/>
      <c r="AG2158" s="5"/>
      <c r="AH2158" s="5" t="s">
        <v>8293</v>
      </c>
    </row>
    <row r="2159" spans="2:34" ht="21" customHeight="1" outlineLevel="4" x14ac:dyDescent="0.2">
      <c r="B2159" s="42">
        <v>1688</v>
      </c>
      <c r="C2159" s="5" t="s">
        <v>9367</v>
      </c>
      <c r="D2159" s="5" t="s">
        <v>9368</v>
      </c>
      <c r="E2159" s="6" t="s">
        <v>9369</v>
      </c>
      <c r="F2159" s="10"/>
      <c r="G2159" s="11" t="s">
        <v>9370</v>
      </c>
      <c r="H2159" s="12">
        <v>20</v>
      </c>
      <c r="I2159" s="13" t="s">
        <v>41</v>
      </c>
      <c r="J2159" s="13"/>
      <c r="K2159" s="13"/>
      <c r="L2159" s="4">
        <v>2</v>
      </c>
      <c r="M2159" s="14">
        <f>345*(1-P3/100)</f>
        <v>345</v>
      </c>
      <c r="N2159" s="15"/>
      <c r="O2159" s="13">
        <f>M2159*N2159</f>
        <v>0</v>
      </c>
      <c r="P2159" s="22">
        <f>0.143*N2159</f>
        <v>0</v>
      </c>
      <c r="Q2159" s="23">
        <f>0.00015*N2159</f>
        <v>0</v>
      </c>
      <c r="R2159" s="24"/>
      <c r="S2159" s="25" t="s">
        <v>9371</v>
      </c>
      <c r="T2159" s="25" t="s">
        <v>43</v>
      </c>
      <c r="U2159" s="5" t="s">
        <v>9359</v>
      </c>
      <c r="V2159" s="5" t="s">
        <v>9372</v>
      </c>
      <c r="W2159" s="5" t="s">
        <v>46</v>
      </c>
      <c r="X2159" s="5"/>
      <c r="Y2159" s="5"/>
      <c r="Z2159" s="5" t="str">
        <f>HYPERLINK("https://knigipp.ru/api/getInfo/image/2d13e373-25c5-11f0-a279-00155d82e908")</f>
        <v>https://knigipp.ru/api/getInfo/image/2d13e373-25c5-11f0-a279-00155d82e908</v>
      </c>
      <c r="AA2159" s="33">
        <v>48</v>
      </c>
      <c r="AB2159" s="5" t="s">
        <v>47</v>
      </c>
      <c r="AC2159" s="5" t="s">
        <v>86</v>
      </c>
      <c r="AD2159" s="5"/>
      <c r="AE2159" s="5" t="s">
        <v>49</v>
      </c>
      <c r="AF2159" s="5"/>
      <c r="AG2159" s="5"/>
      <c r="AH2159" s="5" t="s">
        <v>2908</v>
      </c>
    </row>
    <row r="2160" spans="2:34" ht="21" customHeight="1" outlineLevel="4" x14ac:dyDescent="0.2">
      <c r="B2160" s="42">
        <v>1689</v>
      </c>
      <c r="C2160" s="5" t="s">
        <v>9373</v>
      </c>
      <c r="D2160" s="5" t="s">
        <v>9374</v>
      </c>
      <c r="E2160" s="6" t="s">
        <v>9375</v>
      </c>
      <c r="F2160" s="10"/>
      <c r="G2160" s="11" t="s">
        <v>9376</v>
      </c>
      <c r="H2160" s="12">
        <v>20</v>
      </c>
      <c r="I2160" s="13" t="s">
        <v>41</v>
      </c>
      <c r="J2160" s="13"/>
      <c r="K2160" s="13"/>
      <c r="L2160" s="4">
        <v>2</v>
      </c>
      <c r="M2160" s="14">
        <f>345*(1-P3/100)</f>
        <v>345</v>
      </c>
      <c r="N2160" s="15"/>
      <c r="O2160" s="13">
        <f>M2160*N2160</f>
        <v>0</v>
      </c>
      <c r="P2160" s="22">
        <f>0.141*N2160</f>
        <v>0</v>
      </c>
      <c r="Q2160" s="23">
        <f>0.00012*N2160</f>
        <v>0</v>
      </c>
      <c r="R2160" s="24"/>
      <c r="S2160" s="25" t="s">
        <v>9377</v>
      </c>
      <c r="T2160" s="25" t="s">
        <v>43</v>
      </c>
      <c r="U2160" s="5" t="s">
        <v>9359</v>
      </c>
      <c r="V2160" s="5" t="s">
        <v>9378</v>
      </c>
      <c r="W2160" s="5" t="s">
        <v>46</v>
      </c>
      <c r="X2160" s="5"/>
      <c r="Y2160" s="5"/>
      <c r="Z2160" s="5" t="str">
        <f>HYPERLINK("https://knigipp.ru/api/getInfo/image/60229830-55a2-11f0-a27e-00155d82e908")</f>
        <v>https://knigipp.ru/api/getInfo/image/60229830-55a2-11f0-a27e-00155d82e908</v>
      </c>
      <c r="AA2160" s="33">
        <v>48</v>
      </c>
      <c r="AB2160" s="5" t="s">
        <v>47</v>
      </c>
      <c r="AC2160" s="5" t="s">
        <v>86</v>
      </c>
      <c r="AD2160" s="5"/>
      <c r="AE2160" s="5" t="s">
        <v>49</v>
      </c>
      <c r="AF2160" s="5"/>
      <c r="AG2160" s="5"/>
      <c r="AH2160" s="5" t="s">
        <v>9379</v>
      </c>
    </row>
    <row r="2161" spans="2:34" ht="22.95" customHeight="1" outlineLevel="2" x14ac:dyDescent="0.2">
      <c r="B2161" s="73" t="s">
        <v>9380</v>
      </c>
      <c r="C2161" s="73"/>
      <c r="D2161" s="73"/>
    </row>
    <row r="2162" spans="2:34" ht="22.95" customHeight="1" outlineLevel="3" x14ac:dyDescent="0.2">
      <c r="B2162" s="74" t="s">
        <v>9381</v>
      </c>
      <c r="C2162" s="74"/>
      <c r="D2162" s="74"/>
    </row>
    <row r="2163" spans="2:34" ht="21" customHeight="1" outlineLevel="4" x14ac:dyDescent="0.2">
      <c r="B2163" s="42">
        <v>1690</v>
      </c>
      <c r="C2163" s="5" t="s">
        <v>9382</v>
      </c>
      <c r="D2163" s="5" t="s">
        <v>9383</v>
      </c>
      <c r="E2163" s="6" t="s">
        <v>9384</v>
      </c>
      <c r="F2163" s="10"/>
      <c r="G2163" s="11" t="s">
        <v>9385</v>
      </c>
      <c r="H2163" s="12">
        <v>20</v>
      </c>
      <c r="I2163" s="13" t="s">
        <v>41</v>
      </c>
      <c r="J2163" s="13"/>
      <c r="K2163" s="13"/>
      <c r="L2163" s="4">
        <v>2</v>
      </c>
      <c r="M2163" s="14">
        <f>299*(1-P3/100)</f>
        <v>299</v>
      </c>
      <c r="N2163" s="15"/>
      <c r="O2163" s="13">
        <f>M2163*N2163</f>
        <v>0</v>
      </c>
      <c r="P2163" s="13">
        <v>0</v>
      </c>
      <c r="Q2163" s="13">
        <v>0</v>
      </c>
      <c r="R2163" s="24"/>
      <c r="S2163" s="25" t="s">
        <v>9386</v>
      </c>
      <c r="T2163" s="25" t="s">
        <v>43</v>
      </c>
      <c r="U2163" s="5" t="s">
        <v>8980</v>
      </c>
      <c r="V2163" s="5" t="s">
        <v>9387</v>
      </c>
      <c r="W2163" s="5" t="s">
        <v>46</v>
      </c>
      <c r="X2163" s="5"/>
      <c r="Y2163" s="5"/>
      <c r="Z2163" s="5" t="str">
        <f>HYPERLINK("https://knigipp.ru/api/getInfo/image/978adc2e-f39b-11eb-a20d-ac1f6b442185")</f>
        <v>https://knigipp.ru/api/getInfo/image/978adc2e-f39b-11eb-a20d-ac1f6b442185</v>
      </c>
      <c r="AA2163" s="33">
        <v>48</v>
      </c>
      <c r="AB2163" s="5"/>
      <c r="AC2163" s="5" t="s">
        <v>86</v>
      </c>
      <c r="AD2163" s="5"/>
      <c r="AE2163" s="5" t="s">
        <v>49</v>
      </c>
      <c r="AF2163" s="5"/>
      <c r="AG2163" s="5"/>
      <c r="AH2163" s="5" t="s">
        <v>9388</v>
      </c>
    </row>
    <row r="2164" spans="2:34" ht="21" customHeight="1" outlineLevel="4" x14ac:dyDescent="0.2">
      <c r="B2164" s="42">
        <v>1691</v>
      </c>
      <c r="C2164" s="5" t="s">
        <v>9389</v>
      </c>
      <c r="D2164" s="5" t="s">
        <v>9390</v>
      </c>
      <c r="E2164" s="6" t="s">
        <v>9391</v>
      </c>
      <c r="F2164" s="10"/>
      <c r="G2164" s="11" t="s">
        <v>9392</v>
      </c>
      <c r="H2164" s="12">
        <v>20</v>
      </c>
      <c r="I2164" s="13" t="s">
        <v>41</v>
      </c>
      <c r="J2164" s="13"/>
      <c r="K2164" s="13"/>
      <c r="L2164" s="4">
        <v>2</v>
      </c>
      <c r="M2164" s="14">
        <f>299*(1-P3/100)</f>
        <v>299</v>
      </c>
      <c r="N2164" s="15"/>
      <c r="O2164" s="13">
        <f>M2164*N2164</f>
        <v>0</v>
      </c>
      <c r="P2164" s="22">
        <f>0.242*N2164</f>
        <v>0</v>
      </c>
      <c r="Q2164" s="23">
        <f>0.00056*N2164</f>
        <v>0</v>
      </c>
      <c r="R2164" s="24"/>
      <c r="S2164" s="25" t="s">
        <v>9393</v>
      </c>
      <c r="T2164" s="25" t="s">
        <v>43</v>
      </c>
      <c r="U2164" s="5" t="s">
        <v>9394</v>
      </c>
      <c r="V2164" s="5" t="s">
        <v>9395</v>
      </c>
      <c r="W2164" s="5" t="s">
        <v>46</v>
      </c>
      <c r="X2164" s="5"/>
      <c r="Y2164" s="5"/>
      <c r="Z2164" s="5" t="str">
        <f>HYPERLINK("https://knigipp.ru/api/getInfo/image/068b5521-0a5c-11ec-a20e-ac1f6b442185")</f>
        <v>https://knigipp.ru/api/getInfo/image/068b5521-0a5c-11ec-a20e-ac1f6b442185</v>
      </c>
      <c r="AA2164" s="33">
        <v>48</v>
      </c>
      <c r="AB2164" s="5"/>
      <c r="AC2164" s="5" t="s">
        <v>86</v>
      </c>
      <c r="AD2164" s="5"/>
      <c r="AE2164" s="5" t="s">
        <v>49</v>
      </c>
      <c r="AF2164" s="5"/>
      <c r="AG2164" s="5"/>
      <c r="AH2164" s="5" t="s">
        <v>9388</v>
      </c>
    </row>
    <row r="2165" spans="2:34" ht="22.95" customHeight="1" outlineLevel="3" x14ac:dyDescent="0.2">
      <c r="B2165" s="74" t="s">
        <v>9396</v>
      </c>
      <c r="C2165" s="74"/>
      <c r="D2165" s="74"/>
    </row>
    <row r="2166" spans="2:34" ht="21" customHeight="1" outlineLevel="4" x14ac:dyDescent="0.2">
      <c r="B2166" s="42">
        <v>1692</v>
      </c>
      <c r="C2166" s="5" t="s">
        <v>9397</v>
      </c>
      <c r="D2166" s="5" t="s">
        <v>9398</v>
      </c>
      <c r="E2166" s="6" t="s">
        <v>9399</v>
      </c>
      <c r="F2166" s="10"/>
      <c r="G2166" s="11" t="s">
        <v>9400</v>
      </c>
      <c r="H2166" s="12">
        <v>20</v>
      </c>
      <c r="I2166" s="13" t="s">
        <v>41</v>
      </c>
      <c r="J2166" s="13"/>
      <c r="K2166" s="13"/>
      <c r="L2166" s="4">
        <v>2</v>
      </c>
      <c r="M2166" s="14">
        <f>345*(1-P3/100)</f>
        <v>345</v>
      </c>
      <c r="N2166" s="15"/>
      <c r="O2166" s="13">
        <f>M2166*N2166</f>
        <v>0</v>
      </c>
      <c r="P2166" s="22">
        <f>0.147*N2166</f>
        <v>0</v>
      </c>
      <c r="Q2166" s="23">
        <f>0.00013*N2166</f>
        <v>0</v>
      </c>
      <c r="R2166" s="24"/>
      <c r="S2166" s="25" t="s">
        <v>9401</v>
      </c>
      <c r="T2166" s="25" t="s">
        <v>43</v>
      </c>
      <c r="U2166" s="5" t="s">
        <v>9402</v>
      </c>
      <c r="V2166" s="5" t="s">
        <v>9403</v>
      </c>
      <c r="W2166" s="5" t="s">
        <v>46</v>
      </c>
      <c r="X2166" s="5"/>
      <c r="Y2166" s="5"/>
      <c r="Z2166" s="5" t="str">
        <f>HYPERLINK("https://knigipp.ru/api/getInfo/image/e29abcd6-84ca-11f0-a284-00155d82e908")</f>
        <v>https://knigipp.ru/api/getInfo/image/e29abcd6-84ca-11f0-a284-00155d82e908</v>
      </c>
      <c r="AA2166" s="33">
        <v>48</v>
      </c>
      <c r="AB2166" s="5" t="s">
        <v>47</v>
      </c>
      <c r="AC2166" s="5" t="s">
        <v>86</v>
      </c>
      <c r="AD2166" s="5"/>
      <c r="AE2166" s="5" t="s">
        <v>49</v>
      </c>
      <c r="AF2166" s="5"/>
      <c r="AG2166" s="5"/>
      <c r="AH2166" s="5" t="s">
        <v>8293</v>
      </c>
    </row>
    <row r="2167" spans="2:34" ht="21" customHeight="1" outlineLevel="4" x14ac:dyDescent="0.2">
      <c r="B2167" s="42">
        <v>1693</v>
      </c>
      <c r="C2167" s="5" t="s">
        <v>9404</v>
      </c>
      <c r="D2167" s="5" t="s">
        <v>9405</v>
      </c>
      <c r="E2167" s="6" t="s">
        <v>9406</v>
      </c>
      <c r="F2167" s="10"/>
      <c r="G2167" s="11" t="s">
        <v>9407</v>
      </c>
      <c r="H2167" s="12">
        <v>20</v>
      </c>
      <c r="I2167" s="13" t="s">
        <v>41</v>
      </c>
      <c r="J2167" s="13"/>
      <c r="K2167" s="13"/>
      <c r="L2167" s="4">
        <v>2</v>
      </c>
      <c r="M2167" s="14">
        <f>345*(1-P3/100)</f>
        <v>345</v>
      </c>
      <c r="N2167" s="15"/>
      <c r="O2167" s="13">
        <f>M2167*N2167</f>
        <v>0</v>
      </c>
      <c r="P2167" s="22">
        <f>0.134*N2167</f>
        <v>0</v>
      </c>
      <c r="Q2167" s="23">
        <f>0.00015*N2167</f>
        <v>0</v>
      </c>
      <c r="R2167" s="24"/>
      <c r="S2167" s="25" t="s">
        <v>9408</v>
      </c>
      <c r="T2167" s="25" t="s">
        <v>43</v>
      </c>
      <c r="U2167" s="5" t="s">
        <v>9402</v>
      </c>
      <c r="V2167" s="5" t="s">
        <v>9409</v>
      </c>
      <c r="W2167" s="5" t="s">
        <v>46</v>
      </c>
      <c r="X2167" s="5"/>
      <c r="Y2167" s="5"/>
      <c r="Z2167" s="5" t="str">
        <f>HYPERLINK("https://knigipp.ru/api/getInfo/image/46766b3e-84cb-11f0-a284-00155d82e908")</f>
        <v>https://knigipp.ru/api/getInfo/image/46766b3e-84cb-11f0-a284-00155d82e908</v>
      </c>
      <c r="AA2167" s="33">
        <v>48</v>
      </c>
      <c r="AB2167" s="5" t="s">
        <v>47</v>
      </c>
      <c r="AC2167" s="5" t="s">
        <v>86</v>
      </c>
      <c r="AD2167" s="5"/>
      <c r="AE2167" s="5" t="s">
        <v>49</v>
      </c>
      <c r="AF2167" s="5"/>
      <c r="AG2167" s="5"/>
      <c r="AH2167" s="5" t="s">
        <v>8293</v>
      </c>
    </row>
    <row r="2168" spans="2:34" ht="21" customHeight="1" outlineLevel="4" x14ac:dyDescent="0.2">
      <c r="B2168" s="42">
        <v>1694</v>
      </c>
      <c r="C2168" s="5" t="s">
        <v>9410</v>
      </c>
      <c r="D2168" s="5" t="s">
        <v>9411</v>
      </c>
      <c r="E2168" s="6" t="s">
        <v>9412</v>
      </c>
      <c r="F2168" s="10"/>
      <c r="G2168" s="11" t="s">
        <v>9413</v>
      </c>
      <c r="H2168" s="12">
        <v>20</v>
      </c>
      <c r="I2168" s="13" t="s">
        <v>41</v>
      </c>
      <c r="J2168" s="13"/>
      <c r="K2168" s="13"/>
      <c r="L2168" s="4">
        <v>2</v>
      </c>
      <c r="M2168" s="14">
        <f>345*(1-P3/100)</f>
        <v>345</v>
      </c>
      <c r="N2168" s="15"/>
      <c r="O2168" s="13">
        <f>M2168*N2168</f>
        <v>0</v>
      </c>
      <c r="P2168" s="22">
        <f>0.128*N2168</f>
        <v>0</v>
      </c>
      <c r="Q2168" s="23">
        <f>0.00012*N2168</f>
        <v>0</v>
      </c>
      <c r="R2168" s="24"/>
      <c r="S2168" s="25" t="s">
        <v>9414</v>
      </c>
      <c r="T2168" s="25" t="s">
        <v>43</v>
      </c>
      <c r="U2168" s="5" t="s">
        <v>9402</v>
      </c>
      <c r="V2168" s="5" t="s">
        <v>9415</v>
      </c>
      <c r="W2168" s="5" t="s">
        <v>46</v>
      </c>
      <c r="X2168" s="5"/>
      <c r="Y2168" s="5"/>
      <c r="Z2168" s="5" t="str">
        <f>HYPERLINK("https://knigipp.ru/api/getInfo/image/7dcc3fc8-84cb-11f0-a284-00155d82e908")</f>
        <v>https://knigipp.ru/api/getInfo/image/7dcc3fc8-84cb-11f0-a284-00155d82e908</v>
      </c>
      <c r="AA2168" s="33">
        <v>48</v>
      </c>
      <c r="AB2168" s="5" t="s">
        <v>47</v>
      </c>
      <c r="AC2168" s="5" t="s">
        <v>86</v>
      </c>
      <c r="AD2168" s="5"/>
      <c r="AE2168" s="5" t="s">
        <v>49</v>
      </c>
      <c r="AF2168" s="5"/>
      <c r="AG2168" s="5"/>
      <c r="AH2168" s="5" t="s">
        <v>8293</v>
      </c>
    </row>
    <row r="2169" spans="2:34" ht="21" customHeight="1" outlineLevel="4" x14ac:dyDescent="0.2">
      <c r="B2169" s="42">
        <v>1695</v>
      </c>
      <c r="C2169" s="5" t="s">
        <v>9416</v>
      </c>
      <c r="D2169" s="5" t="s">
        <v>9417</v>
      </c>
      <c r="E2169" s="6" t="s">
        <v>9418</v>
      </c>
      <c r="F2169" s="10"/>
      <c r="G2169" s="11" t="s">
        <v>9419</v>
      </c>
      <c r="H2169" s="12">
        <v>20</v>
      </c>
      <c r="I2169" s="13" t="s">
        <v>41</v>
      </c>
      <c r="J2169" s="13"/>
      <c r="K2169" s="13"/>
      <c r="L2169" s="4">
        <v>2</v>
      </c>
      <c r="M2169" s="14">
        <f>345*(1-P3/100)</f>
        <v>345</v>
      </c>
      <c r="N2169" s="15"/>
      <c r="O2169" s="13">
        <f>M2169*N2169</f>
        <v>0</v>
      </c>
      <c r="P2169" s="32">
        <f>0.13*N2169</f>
        <v>0</v>
      </c>
      <c r="Q2169" s="23">
        <f>0.00022*N2169</f>
        <v>0</v>
      </c>
      <c r="R2169" s="24"/>
      <c r="S2169" s="25" t="s">
        <v>9420</v>
      </c>
      <c r="T2169" s="25" t="s">
        <v>43</v>
      </c>
      <c r="U2169" s="5" t="s">
        <v>9402</v>
      </c>
      <c r="V2169" s="5" t="s">
        <v>9421</v>
      </c>
      <c r="W2169" s="5" t="s">
        <v>46</v>
      </c>
      <c r="X2169" s="5"/>
      <c r="Y2169" s="5"/>
      <c r="Z2169" s="5" t="str">
        <f>HYPERLINK("https://knigipp.ru/api/getInfo/image/a74a250a-84cb-11f0-a284-00155d82e908")</f>
        <v>https://knigipp.ru/api/getInfo/image/a74a250a-84cb-11f0-a284-00155d82e908</v>
      </c>
      <c r="AA2169" s="33">
        <v>48</v>
      </c>
      <c r="AB2169" s="5" t="s">
        <v>47</v>
      </c>
      <c r="AC2169" s="5" t="s">
        <v>86</v>
      </c>
      <c r="AD2169" s="5"/>
      <c r="AE2169" s="5" t="s">
        <v>49</v>
      </c>
      <c r="AF2169" s="5"/>
      <c r="AG2169" s="5"/>
      <c r="AH2169" s="5" t="s">
        <v>8293</v>
      </c>
    </row>
    <row r="2170" spans="2:34" ht="22.95" customHeight="1" outlineLevel="3" x14ac:dyDescent="0.2">
      <c r="B2170" s="74" t="s">
        <v>9422</v>
      </c>
      <c r="C2170" s="74"/>
      <c r="D2170" s="74"/>
    </row>
    <row r="2171" spans="2:34" ht="21" customHeight="1" outlineLevel="4" x14ac:dyDescent="0.2">
      <c r="B2171" s="42">
        <v>1696</v>
      </c>
      <c r="C2171" s="5" t="s">
        <v>9423</v>
      </c>
      <c r="D2171" s="5" t="s">
        <v>9424</v>
      </c>
      <c r="E2171" s="6" t="s">
        <v>9425</v>
      </c>
      <c r="F2171" s="10"/>
      <c r="G2171" s="11" t="s">
        <v>9426</v>
      </c>
      <c r="H2171" s="12">
        <v>12</v>
      </c>
      <c r="I2171" s="13" t="s">
        <v>261</v>
      </c>
      <c r="J2171" s="13"/>
      <c r="K2171" s="13"/>
      <c r="L2171" s="4">
        <v>3</v>
      </c>
      <c r="M2171" s="14">
        <f>247*(1-P3/100)</f>
        <v>247</v>
      </c>
      <c r="N2171" s="15"/>
      <c r="O2171" s="13">
        <f t="shared" ref="O2171:O2176" si="97">M2171*N2171</f>
        <v>0</v>
      </c>
      <c r="P2171" s="22">
        <f>0.213*N2171</f>
        <v>0</v>
      </c>
      <c r="Q2171" s="23">
        <f>0.00051*N2171</f>
        <v>0</v>
      </c>
      <c r="R2171" s="24"/>
      <c r="S2171" s="25" t="s">
        <v>9427</v>
      </c>
      <c r="T2171" s="25" t="s">
        <v>43</v>
      </c>
      <c r="U2171" s="5"/>
      <c r="V2171" s="5" t="s">
        <v>9428</v>
      </c>
      <c r="W2171" s="5" t="s">
        <v>46</v>
      </c>
      <c r="X2171" s="5" t="s">
        <v>362</v>
      </c>
      <c r="Y2171" s="5"/>
      <c r="Z2171" s="5" t="str">
        <f>HYPERLINK("https://knigipp.ru/api/getInfo/image/d23ce8e0-181c-11e6-b4ab-5cf3fc4a2490")</f>
        <v>https://knigipp.ru/api/getInfo/image/d23ce8e0-181c-11e6-b4ab-5cf3fc4a2490</v>
      </c>
      <c r="AA2171" s="33">
        <v>32</v>
      </c>
      <c r="AB2171" s="5"/>
      <c r="AC2171" s="5" t="s">
        <v>86</v>
      </c>
      <c r="AD2171" s="5"/>
      <c r="AE2171" s="5" t="s">
        <v>49</v>
      </c>
      <c r="AF2171" s="5"/>
      <c r="AG2171" s="5" t="s">
        <v>9429</v>
      </c>
      <c r="AH2171" s="5" t="s">
        <v>9430</v>
      </c>
    </row>
    <row r="2172" spans="2:34" ht="21" customHeight="1" outlineLevel="4" x14ac:dyDescent="0.2">
      <c r="B2172" s="42">
        <v>1697</v>
      </c>
      <c r="C2172" s="5" t="s">
        <v>9431</v>
      </c>
      <c r="D2172" s="5" t="s">
        <v>9432</v>
      </c>
      <c r="E2172" s="6" t="s">
        <v>9433</v>
      </c>
      <c r="F2172" s="10"/>
      <c r="G2172" s="11" t="s">
        <v>9434</v>
      </c>
      <c r="H2172" s="12">
        <v>12</v>
      </c>
      <c r="I2172" s="13" t="s">
        <v>261</v>
      </c>
      <c r="J2172" s="13"/>
      <c r="K2172" s="13"/>
      <c r="L2172" s="4">
        <v>3</v>
      </c>
      <c r="M2172" s="14">
        <f>247*(1-P3/100)</f>
        <v>247</v>
      </c>
      <c r="N2172" s="15"/>
      <c r="O2172" s="13">
        <f t="shared" si="97"/>
        <v>0</v>
      </c>
      <c r="P2172" s="36">
        <f>0.2*N2172</f>
        <v>0</v>
      </c>
      <c r="Q2172" s="23">
        <f>0.00036*N2172</f>
        <v>0</v>
      </c>
      <c r="R2172" s="24"/>
      <c r="S2172" s="25" t="s">
        <v>9435</v>
      </c>
      <c r="T2172" s="25" t="s">
        <v>43</v>
      </c>
      <c r="U2172" s="5"/>
      <c r="V2172" s="5" t="s">
        <v>9436</v>
      </c>
      <c r="W2172" s="5" t="s">
        <v>46</v>
      </c>
      <c r="X2172" s="5" t="s">
        <v>9084</v>
      </c>
      <c r="Y2172" s="5"/>
      <c r="Z2172" s="5" t="str">
        <f>HYPERLINK("https://knigipp.ru/api/getInfo/image/b57a6c00-181c-11e6-b4ab-5cf3fc4a2490")</f>
        <v>https://knigipp.ru/api/getInfo/image/b57a6c00-181c-11e6-b4ab-5cf3fc4a2490</v>
      </c>
      <c r="AA2172" s="33">
        <v>32</v>
      </c>
      <c r="AB2172" s="5"/>
      <c r="AC2172" s="5" t="s">
        <v>86</v>
      </c>
      <c r="AD2172" s="5"/>
      <c r="AE2172" s="5" t="s">
        <v>49</v>
      </c>
      <c r="AF2172" s="5"/>
      <c r="AG2172" s="5" t="s">
        <v>9429</v>
      </c>
      <c r="AH2172" s="5" t="s">
        <v>9430</v>
      </c>
    </row>
    <row r="2173" spans="2:34" ht="21" customHeight="1" outlineLevel="4" x14ac:dyDescent="0.2">
      <c r="B2173" s="42">
        <v>1698</v>
      </c>
      <c r="C2173" s="5" t="s">
        <v>9437</v>
      </c>
      <c r="D2173" s="5" t="s">
        <v>9438</v>
      </c>
      <c r="E2173" s="6" t="s">
        <v>9439</v>
      </c>
      <c r="F2173" s="10"/>
      <c r="G2173" s="11" t="s">
        <v>9440</v>
      </c>
      <c r="H2173" s="12">
        <v>12</v>
      </c>
      <c r="I2173" s="13" t="s">
        <v>371</v>
      </c>
      <c r="J2173" s="13"/>
      <c r="K2173" s="13"/>
      <c r="L2173" s="4">
        <v>3</v>
      </c>
      <c r="M2173" s="14">
        <f>219*(1-P3/100)</f>
        <v>219</v>
      </c>
      <c r="N2173" s="15"/>
      <c r="O2173" s="13">
        <f t="shared" si="97"/>
        <v>0</v>
      </c>
      <c r="P2173" s="36">
        <f>0.2*N2173</f>
        <v>0</v>
      </c>
      <c r="Q2173" s="23">
        <f>0.00036*N2173</f>
        <v>0</v>
      </c>
      <c r="R2173" s="24"/>
      <c r="S2173" s="25" t="s">
        <v>9441</v>
      </c>
      <c r="T2173" s="25" t="s">
        <v>43</v>
      </c>
      <c r="U2173" s="5" t="s">
        <v>9442</v>
      </c>
      <c r="V2173" s="5" t="s">
        <v>9443</v>
      </c>
      <c r="W2173" s="5" t="s">
        <v>46</v>
      </c>
      <c r="X2173" s="5" t="s">
        <v>362</v>
      </c>
      <c r="Y2173" s="5"/>
      <c r="Z2173" s="5" t="str">
        <f>HYPERLINK("https://knigipp.ru/api/getInfo/image/215f286b-9a97-11e5-b0ae-5cf3fc4a2490")</f>
        <v>https://knigipp.ru/api/getInfo/image/215f286b-9a97-11e5-b0ae-5cf3fc4a2490</v>
      </c>
      <c r="AA2173" s="33">
        <v>32</v>
      </c>
      <c r="AB2173" s="5"/>
      <c r="AC2173" s="5" t="s">
        <v>86</v>
      </c>
      <c r="AD2173" s="5"/>
      <c r="AE2173" s="5" t="s">
        <v>49</v>
      </c>
      <c r="AF2173" s="5"/>
      <c r="AG2173" s="5" t="s">
        <v>9429</v>
      </c>
      <c r="AH2173" s="5" t="s">
        <v>9430</v>
      </c>
    </row>
    <row r="2174" spans="2:34" ht="21" customHeight="1" outlineLevel="4" x14ac:dyDescent="0.2">
      <c r="B2174" s="42">
        <v>1699</v>
      </c>
      <c r="C2174" s="5" t="s">
        <v>9444</v>
      </c>
      <c r="D2174" s="5" t="s">
        <v>9445</v>
      </c>
      <c r="E2174" s="6" t="s">
        <v>9446</v>
      </c>
      <c r="F2174" s="10"/>
      <c r="G2174" s="11" t="s">
        <v>9447</v>
      </c>
      <c r="H2174" s="12">
        <v>12</v>
      </c>
      <c r="I2174" s="13" t="s">
        <v>41</v>
      </c>
      <c r="J2174" s="13"/>
      <c r="K2174" s="13"/>
      <c r="L2174" s="4">
        <v>3</v>
      </c>
      <c r="M2174" s="14">
        <f>247*(1-P3/100)</f>
        <v>247</v>
      </c>
      <c r="N2174" s="15"/>
      <c r="O2174" s="13">
        <f t="shared" si="97"/>
        <v>0</v>
      </c>
      <c r="P2174" s="22">
        <f>0.208*N2174</f>
        <v>0</v>
      </c>
      <c r="Q2174" s="23">
        <f>0.00036*N2174</f>
        <v>0</v>
      </c>
      <c r="R2174" s="24"/>
      <c r="S2174" s="25" t="s">
        <v>9448</v>
      </c>
      <c r="T2174" s="25" t="s">
        <v>43</v>
      </c>
      <c r="U2174" s="5" t="s">
        <v>9449</v>
      </c>
      <c r="V2174" s="5" t="s">
        <v>9450</v>
      </c>
      <c r="W2174" s="5" t="s">
        <v>46</v>
      </c>
      <c r="X2174" s="5" t="s">
        <v>8644</v>
      </c>
      <c r="Y2174" s="5"/>
      <c r="Z2174" s="5" t="str">
        <f>HYPERLINK("https://knigipp.ru/api/getInfo/image/47bee2ec-9a97-11e5-b0ae-5cf3fc4a2490")</f>
        <v>https://knigipp.ru/api/getInfo/image/47bee2ec-9a97-11e5-b0ae-5cf3fc4a2490</v>
      </c>
      <c r="AA2174" s="33">
        <v>32</v>
      </c>
      <c r="AB2174" s="5"/>
      <c r="AC2174" s="5" t="s">
        <v>86</v>
      </c>
      <c r="AD2174" s="5"/>
      <c r="AE2174" s="5" t="s">
        <v>49</v>
      </c>
      <c r="AF2174" s="5"/>
      <c r="AG2174" s="5" t="s">
        <v>9429</v>
      </c>
      <c r="AH2174" s="5" t="s">
        <v>9430</v>
      </c>
    </row>
    <row r="2175" spans="2:34" ht="21" customHeight="1" outlineLevel="4" x14ac:dyDescent="0.2">
      <c r="B2175" s="42">
        <v>1700</v>
      </c>
      <c r="C2175" s="5" t="s">
        <v>9451</v>
      </c>
      <c r="D2175" s="5" t="s">
        <v>9452</v>
      </c>
      <c r="E2175" s="6" t="s">
        <v>9453</v>
      </c>
      <c r="F2175" s="10"/>
      <c r="G2175" s="11" t="s">
        <v>9454</v>
      </c>
      <c r="H2175" s="12">
        <v>12</v>
      </c>
      <c r="I2175" s="13" t="s">
        <v>371</v>
      </c>
      <c r="J2175" s="13"/>
      <c r="K2175" s="13"/>
      <c r="L2175" s="4">
        <v>3</v>
      </c>
      <c r="M2175" s="14">
        <f>247*(1-P3/100)</f>
        <v>247</v>
      </c>
      <c r="N2175" s="15"/>
      <c r="O2175" s="13">
        <f t="shared" si="97"/>
        <v>0</v>
      </c>
      <c r="P2175" s="22">
        <f>0.215*N2175</f>
        <v>0</v>
      </c>
      <c r="Q2175" s="23">
        <f>0.00065*N2175</f>
        <v>0</v>
      </c>
      <c r="R2175" s="24"/>
      <c r="S2175" s="25" t="s">
        <v>9455</v>
      </c>
      <c r="T2175" s="25" t="s">
        <v>43</v>
      </c>
      <c r="U2175" s="5" t="s">
        <v>9456</v>
      </c>
      <c r="V2175" s="5" t="s">
        <v>9457</v>
      </c>
      <c r="W2175" s="5" t="s">
        <v>46</v>
      </c>
      <c r="X2175" s="5" t="s">
        <v>8644</v>
      </c>
      <c r="Y2175" s="5"/>
      <c r="Z2175" s="5" t="str">
        <f>HYPERLINK("https://knigipp.ru/api/getInfo/image/2fa03e4e-9a97-11e5-b0ae-5cf3fc4a2490")</f>
        <v>https://knigipp.ru/api/getInfo/image/2fa03e4e-9a97-11e5-b0ae-5cf3fc4a2490</v>
      </c>
      <c r="AA2175" s="33">
        <v>32</v>
      </c>
      <c r="AB2175" s="5"/>
      <c r="AC2175" s="5" t="s">
        <v>86</v>
      </c>
      <c r="AD2175" s="5"/>
      <c r="AE2175" s="5" t="s">
        <v>49</v>
      </c>
      <c r="AF2175" s="5"/>
      <c r="AG2175" s="5" t="s">
        <v>9429</v>
      </c>
      <c r="AH2175" s="5" t="s">
        <v>9430</v>
      </c>
    </row>
    <row r="2176" spans="2:34" ht="21" customHeight="1" outlineLevel="4" x14ac:dyDescent="0.2">
      <c r="B2176" s="42">
        <v>1701</v>
      </c>
      <c r="C2176" s="5" t="s">
        <v>9458</v>
      </c>
      <c r="D2176" s="5" t="s">
        <v>9459</v>
      </c>
      <c r="E2176" s="6" t="s">
        <v>9460</v>
      </c>
      <c r="F2176" s="10"/>
      <c r="G2176" s="11" t="s">
        <v>9461</v>
      </c>
      <c r="H2176" s="12">
        <v>12</v>
      </c>
      <c r="I2176" s="13" t="s">
        <v>371</v>
      </c>
      <c r="J2176" s="13"/>
      <c r="K2176" s="13"/>
      <c r="L2176" s="4">
        <v>3</v>
      </c>
      <c r="M2176" s="14">
        <f>247*(1-P3/100)</f>
        <v>247</v>
      </c>
      <c r="N2176" s="15"/>
      <c r="O2176" s="13">
        <f t="shared" si="97"/>
        <v>0</v>
      </c>
      <c r="P2176" s="36">
        <f>0.2*N2176</f>
        <v>0</v>
      </c>
      <c r="Q2176" s="23">
        <f>0.00036*N2176</f>
        <v>0</v>
      </c>
      <c r="R2176" s="24"/>
      <c r="S2176" s="25" t="s">
        <v>9462</v>
      </c>
      <c r="T2176" s="25" t="s">
        <v>43</v>
      </c>
      <c r="U2176" s="5" t="s">
        <v>630</v>
      </c>
      <c r="V2176" s="5" t="s">
        <v>9463</v>
      </c>
      <c r="W2176" s="5" t="s">
        <v>46</v>
      </c>
      <c r="X2176" s="5" t="s">
        <v>9464</v>
      </c>
      <c r="Y2176" s="5"/>
      <c r="Z2176" s="5" t="str">
        <f>HYPERLINK("https://knigipp.ru/api/getInfo/image/4f9caae0-9a97-11e5-b0ae-5cf3fc4a2490")</f>
        <v>https://knigipp.ru/api/getInfo/image/4f9caae0-9a97-11e5-b0ae-5cf3fc4a2490</v>
      </c>
      <c r="AA2176" s="33">
        <v>32</v>
      </c>
      <c r="AB2176" s="5"/>
      <c r="AC2176" s="5" t="s">
        <v>86</v>
      </c>
      <c r="AD2176" s="5"/>
      <c r="AE2176" s="5" t="s">
        <v>49</v>
      </c>
      <c r="AF2176" s="5"/>
      <c r="AG2176" s="5" t="s">
        <v>9429</v>
      </c>
      <c r="AH2176" s="5" t="s">
        <v>9430</v>
      </c>
    </row>
    <row r="2177" spans="2:35" ht="22.95" customHeight="1" outlineLevel="2" x14ac:dyDescent="0.2">
      <c r="B2177" s="73" t="s">
        <v>9465</v>
      </c>
      <c r="C2177" s="73"/>
      <c r="D2177" s="73"/>
    </row>
    <row r="2178" spans="2:35" ht="22.95" customHeight="1" outlineLevel="3" x14ac:dyDescent="0.2">
      <c r="B2178" s="74" t="s">
        <v>9466</v>
      </c>
      <c r="C2178" s="74"/>
      <c r="D2178" s="74"/>
    </row>
    <row r="2179" spans="2:35" ht="21" customHeight="1" outlineLevel="4" x14ac:dyDescent="0.2">
      <c r="B2179" s="43">
        <v>1702</v>
      </c>
      <c r="C2179" s="8" t="s">
        <v>9467</v>
      </c>
      <c r="D2179" s="8" t="s">
        <v>9468</v>
      </c>
      <c r="E2179" s="9" t="s">
        <v>9469</v>
      </c>
      <c r="F2179" s="16"/>
      <c r="G2179" s="17" t="s">
        <v>9470</v>
      </c>
      <c r="H2179" s="18">
        <v>10</v>
      </c>
      <c r="I2179" s="19" t="s">
        <v>41</v>
      </c>
      <c r="J2179" s="19"/>
      <c r="K2179" s="19"/>
      <c r="L2179" s="7">
        <v>1</v>
      </c>
      <c r="M2179" s="21">
        <f>947*(1-P3/100)</f>
        <v>947</v>
      </c>
      <c r="N2179" s="15"/>
      <c r="O2179" s="19">
        <f>M2179*N2179</f>
        <v>0</v>
      </c>
      <c r="P2179" s="26">
        <f>0.611*N2179</f>
        <v>0</v>
      </c>
      <c r="Q2179" s="27">
        <f>0.00094*N2179</f>
        <v>0</v>
      </c>
      <c r="R2179" s="28" t="s">
        <v>81</v>
      </c>
      <c r="S2179" s="29" t="s">
        <v>9471</v>
      </c>
      <c r="T2179" s="29" t="s">
        <v>43</v>
      </c>
      <c r="U2179" s="8" t="s">
        <v>9472</v>
      </c>
      <c r="V2179" s="8" t="s">
        <v>9473</v>
      </c>
      <c r="W2179" s="8" t="s">
        <v>2731</v>
      </c>
      <c r="X2179" s="8"/>
      <c r="Y2179" s="8"/>
      <c r="Z2179" s="8" t="str">
        <f>HYPERLINK("https://knigipp.ru/api/getInfo/image/1e2c0583-fdd8-11f0-a28e-00155d82e908")</f>
        <v>https://knigipp.ru/api/getInfo/image/1e2c0583-fdd8-11f0-a28e-00155d82e908</v>
      </c>
      <c r="AA2179" s="34">
        <v>496</v>
      </c>
      <c r="AB2179" s="8" t="s">
        <v>47</v>
      </c>
      <c r="AC2179" s="8" t="s">
        <v>86</v>
      </c>
      <c r="AD2179" s="8"/>
      <c r="AE2179" s="8"/>
      <c r="AF2179" s="8"/>
      <c r="AG2179" s="8"/>
      <c r="AH2179" s="8" t="s">
        <v>9474</v>
      </c>
      <c r="AI2179" s="55"/>
    </row>
    <row r="2180" spans="2:35" ht="22.95" customHeight="1" outlineLevel="3" x14ac:dyDescent="0.2">
      <c r="B2180" s="74" t="s">
        <v>9475</v>
      </c>
      <c r="C2180" s="74"/>
      <c r="D2180" s="74"/>
    </row>
    <row r="2181" spans="2:35" ht="21" customHeight="1" outlineLevel="4" x14ac:dyDescent="0.2">
      <c r="B2181" s="42">
        <v>1703</v>
      </c>
      <c r="C2181" s="5" t="s">
        <v>9476</v>
      </c>
      <c r="D2181" s="5" t="s">
        <v>9477</v>
      </c>
      <c r="E2181" s="6" t="s">
        <v>9478</v>
      </c>
      <c r="F2181" s="10"/>
      <c r="G2181" s="11" t="s">
        <v>9479</v>
      </c>
      <c r="H2181" s="12">
        <v>20</v>
      </c>
      <c r="I2181" s="13" t="s">
        <v>41</v>
      </c>
      <c r="J2181" s="13"/>
      <c r="K2181" s="13"/>
      <c r="L2181" s="4">
        <v>2</v>
      </c>
      <c r="M2181" s="14">
        <f>399*(1-P3/100)</f>
        <v>399</v>
      </c>
      <c r="N2181" s="15"/>
      <c r="O2181" s="13">
        <f t="shared" ref="O2181:O2192" si="98">M2181*N2181</f>
        <v>0</v>
      </c>
      <c r="P2181" s="32">
        <f>0.19*N2181</f>
        <v>0</v>
      </c>
      <c r="Q2181" s="23">
        <f>0.00017*N2181</f>
        <v>0</v>
      </c>
      <c r="R2181" s="24"/>
      <c r="S2181" s="25" t="s">
        <v>9480</v>
      </c>
      <c r="T2181" s="25" t="s">
        <v>43</v>
      </c>
      <c r="U2181" s="5" t="s">
        <v>9114</v>
      </c>
      <c r="V2181" s="5"/>
      <c r="W2181" s="5" t="s">
        <v>2731</v>
      </c>
      <c r="X2181" s="5"/>
      <c r="Y2181" s="5"/>
      <c r="Z2181" s="5" t="str">
        <f>HYPERLINK("https://knigipp.ru/api/getInfo/image/de88e41c-23c0-11e9-a21d-ac1f6b442184")</f>
        <v>https://knigipp.ru/api/getInfo/image/de88e41c-23c0-11e9-a21d-ac1f6b442184</v>
      </c>
      <c r="AA2181" s="33">
        <v>128</v>
      </c>
      <c r="AB2181" s="5"/>
      <c r="AC2181" s="5" t="s">
        <v>86</v>
      </c>
      <c r="AD2181" s="5"/>
      <c r="AE2181" s="5" t="s">
        <v>49</v>
      </c>
      <c r="AF2181" s="5"/>
      <c r="AG2181" s="5" t="s">
        <v>9481</v>
      </c>
      <c r="AH2181" s="5" t="s">
        <v>9482</v>
      </c>
    </row>
    <row r="2182" spans="2:35" ht="21" customHeight="1" outlineLevel="4" x14ac:dyDescent="0.2">
      <c r="B2182" s="42">
        <v>1704</v>
      </c>
      <c r="C2182" s="5" t="s">
        <v>9483</v>
      </c>
      <c r="D2182" s="5" t="s">
        <v>9484</v>
      </c>
      <c r="E2182" s="6" t="s">
        <v>9485</v>
      </c>
      <c r="F2182" s="10"/>
      <c r="G2182" s="11" t="s">
        <v>9486</v>
      </c>
      <c r="H2182" s="12">
        <v>20</v>
      </c>
      <c r="I2182" s="13" t="s">
        <v>41</v>
      </c>
      <c r="J2182" s="13"/>
      <c r="K2182" s="13"/>
      <c r="L2182" s="4">
        <v>2</v>
      </c>
      <c r="M2182" s="14">
        <f>399*(1-P3/100)</f>
        <v>399</v>
      </c>
      <c r="N2182" s="15"/>
      <c r="O2182" s="13">
        <f t="shared" si="98"/>
        <v>0</v>
      </c>
      <c r="P2182" s="22">
        <f>0.183*N2182</f>
        <v>0</v>
      </c>
      <c r="Q2182" s="23">
        <f>0.00015*N2182</f>
        <v>0</v>
      </c>
      <c r="R2182" s="24"/>
      <c r="S2182" s="25" t="s">
        <v>9487</v>
      </c>
      <c r="T2182" s="25" t="s">
        <v>43</v>
      </c>
      <c r="U2182" s="5" t="s">
        <v>9488</v>
      </c>
      <c r="V2182" s="5" t="s">
        <v>9489</v>
      </c>
      <c r="W2182" s="5" t="s">
        <v>2731</v>
      </c>
      <c r="X2182" s="5"/>
      <c r="Y2182" s="5"/>
      <c r="Z2182" s="5" t="str">
        <f>HYPERLINK("https://knigipp.ru/api/getInfo/image/b25c4f41-e4bd-11ed-a233-00155d82e902")</f>
        <v>https://knigipp.ru/api/getInfo/image/b25c4f41-e4bd-11ed-a233-00155d82e902</v>
      </c>
      <c r="AA2182" s="33">
        <v>144</v>
      </c>
      <c r="AB2182" s="5"/>
      <c r="AC2182" s="5" t="s">
        <v>86</v>
      </c>
      <c r="AD2182" s="5"/>
      <c r="AE2182" s="5" t="s">
        <v>49</v>
      </c>
      <c r="AF2182" s="5"/>
      <c r="AG2182" s="5" t="s">
        <v>9481</v>
      </c>
      <c r="AH2182" s="5" t="s">
        <v>9490</v>
      </c>
    </row>
    <row r="2183" spans="2:35" ht="21" customHeight="1" outlineLevel="4" x14ac:dyDescent="0.2">
      <c r="B2183" s="42">
        <v>1705</v>
      </c>
      <c r="C2183" s="5" t="s">
        <v>9491</v>
      </c>
      <c r="D2183" s="5" t="s">
        <v>9492</v>
      </c>
      <c r="E2183" s="6" t="s">
        <v>9493</v>
      </c>
      <c r="F2183" s="10"/>
      <c r="G2183" s="11" t="s">
        <v>9494</v>
      </c>
      <c r="H2183" s="12">
        <v>20</v>
      </c>
      <c r="I2183" s="13" t="s">
        <v>41</v>
      </c>
      <c r="J2183" s="13"/>
      <c r="K2183" s="13"/>
      <c r="L2183" s="4">
        <v>2</v>
      </c>
      <c r="M2183" s="14">
        <f>399*(1-P3/100)</f>
        <v>399</v>
      </c>
      <c r="N2183" s="15"/>
      <c r="O2183" s="13">
        <f t="shared" si="98"/>
        <v>0</v>
      </c>
      <c r="P2183" s="22">
        <f>0.171*N2183</f>
        <v>0</v>
      </c>
      <c r="Q2183" s="23">
        <f>0.00025*N2183</f>
        <v>0</v>
      </c>
      <c r="R2183" s="24"/>
      <c r="S2183" s="25" t="s">
        <v>9495</v>
      </c>
      <c r="T2183" s="25" t="s">
        <v>43</v>
      </c>
      <c r="U2183" s="5" t="s">
        <v>9496</v>
      </c>
      <c r="V2183" s="5"/>
      <c r="W2183" s="5" t="s">
        <v>2731</v>
      </c>
      <c r="X2183" s="5"/>
      <c r="Y2183" s="5"/>
      <c r="Z2183" s="5" t="str">
        <f>HYPERLINK("https://knigipp.ru/api/getInfo/image/757d8b58-23c0-11e9-a21d-ac1f6b442184")</f>
        <v>https://knigipp.ru/api/getInfo/image/757d8b58-23c0-11e9-a21d-ac1f6b442184</v>
      </c>
      <c r="AA2183" s="33">
        <v>112</v>
      </c>
      <c r="AB2183" s="5"/>
      <c r="AC2183" s="5" t="s">
        <v>86</v>
      </c>
      <c r="AD2183" s="5"/>
      <c r="AE2183" s="5" t="s">
        <v>49</v>
      </c>
      <c r="AF2183" s="5"/>
      <c r="AG2183" s="5"/>
      <c r="AH2183" s="5" t="s">
        <v>9482</v>
      </c>
    </row>
    <row r="2184" spans="2:35" ht="21" customHeight="1" outlineLevel="4" x14ac:dyDescent="0.2">
      <c r="B2184" s="42">
        <v>1706</v>
      </c>
      <c r="C2184" s="5" t="s">
        <v>9497</v>
      </c>
      <c r="D2184" s="5" t="s">
        <v>9498</v>
      </c>
      <c r="E2184" s="6" t="s">
        <v>9499</v>
      </c>
      <c r="F2184" s="10"/>
      <c r="G2184" s="11" t="s">
        <v>9500</v>
      </c>
      <c r="H2184" s="12">
        <v>20</v>
      </c>
      <c r="I2184" s="13" t="s">
        <v>41</v>
      </c>
      <c r="J2184" s="13"/>
      <c r="K2184" s="13"/>
      <c r="L2184" s="4">
        <v>2</v>
      </c>
      <c r="M2184" s="14">
        <f>399*(1-P3/100)</f>
        <v>399</v>
      </c>
      <c r="N2184" s="15"/>
      <c r="O2184" s="13">
        <f t="shared" si="98"/>
        <v>0</v>
      </c>
      <c r="P2184" s="22">
        <f>0.163*N2184</f>
        <v>0</v>
      </c>
      <c r="Q2184" s="23">
        <f>0.00037*N2184</f>
        <v>0</v>
      </c>
      <c r="R2184" s="24"/>
      <c r="S2184" s="25" t="s">
        <v>9501</v>
      </c>
      <c r="T2184" s="25" t="s">
        <v>43</v>
      </c>
      <c r="U2184" s="5" t="s">
        <v>8980</v>
      </c>
      <c r="V2184" s="5"/>
      <c r="W2184" s="5" t="s">
        <v>2731</v>
      </c>
      <c r="X2184" s="5"/>
      <c r="Y2184" s="5"/>
      <c r="Z2184" s="5" t="str">
        <f>HYPERLINK("https://knigipp.ru/api/getInfo/image/8f6b2fed-23c0-11e9-a21d-ac1f6b442184")</f>
        <v>https://knigipp.ru/api/getInfo/image/8f6b2fed-23c0-11e9-a21d-ac1f6b442184</v>
      </c>
      <c r="AA2184" s="33">
        <v>112</v>
      </c>
      <c r="AB2184" s="5"/>
      <c r="AC2184" s="5" t="s">
        <v>86</v>
      </c>
      <c r="AD2184" s="5"/>
      <c r="AE2184" s="5" t="s">
        <v>49</v>
      </c>
      <c r="AF2184" s="5"/>
      <c r="AG2184" s="5" t="s">
        <v>9481</v>
      </c>
      <c r="AH2184" s="5" t="s">
        <v>9482</v>
      </c>
    </row>
    <row r="2185" spans="2:35" ht="21" customHeight="1" outlineLevel="4" x14ac:dyDescent="0.2">
      <c r="B2185" s="42">
        <v>1707</v>
      </c>
      <c r="C2185" s="5" t="s">
        <v>9502</v>
      </c>
      <c r="D2185" s="5" t="s">
        <v>9503</v>
      </c>
      <c r="E2185" s="6" t="s">
        <v>9504</v>
      </c>
      <c r="F2185" s="10"/>
      <c r="G2185" s="11" t="s">
        <v>9505</v>
      </c>
      <c r="H2185" s="12">
        <v>20</v>
      </c>
      <c r="I2185" s="13" t="s">
        <v>41</v>
      </c>
      <c r="J2185" s="13"/>
      <c r="K2185" s="13"/>
      <c r="L2185" s="4">
        <v>2</v>
      </c>
      <c r="M2185" s="14">
        <f>399*(1-P3/100)</f>
        <v>399</v>
      </c>
      <c r="N2185" s="15"/>
      <c r="O2185" s="13">
        <f t="shared" si="98"/>
        <v>0</v>
      </c>
      <c r="P2185" s="22">
        <f>0.183*N2185</f>
        <v>0</v>
      </c>
      <c r="Q2185" s="23">
        <f>0.00015*N2185</f>
        <v>0</v>
      </c>
      <c r="R2185" s="24"/>
      <c r="S2185" s="25" t="s">
        <v>9506</v>
      </c>
      <c r="T2185" s="25" t="s">
        <v>43</v>
      </c>
      <c r="U2185" s="5" t="s">
        <v>8583</v>
      </c>
      <c r="V2185" s="5" t="s">
        <v>9507</v>
      </c>
      <c r="W2185" s="5" t="s">
        <v>2731</v>
      </c>
      <c r="X2185" s="5"/>
      <c r="Y2185" s="5"/>
      <c r="Z2185" s="5" t="str">
        <f>HYPERLINK("https://knigipp.ru/api/getInfo/image/d77b544f-e4bc-11ed-a233-00155d82e902")</f>
        <v>https://knigipp.ru/api/getInfo/image/d77b544f-e4bc-11ed-a233-00155d82e902</v>
      </c>
      <c r="AA2185" s="33">
        <v>128</v>
      </c>
      <c r="AB2185" s="5"/>
      <c r="AC2185" s="5" t="s">
        <v>86</v>
      </c>
      <c r="AD2185" s="5"/>
      <c r="AE2185" s="5" t="s">
        <v>49</v>
      </c>
      <c r="AF2185" s="5"/>
      <c r="AG2185" s="5" t="s">
        <v>9481</v>
      </c>
      <c r="AH2185" s="5" t="s">
        <v>9508</v>
      </c>
    </row>
    <row r="2186" spans="2:35" ht="21" customHeight="1" outlineLevel="4" x14ac:dyDescent="0.2">
      <c r="B2186" s="42">
        <v>1708</v>
      </c>
      <c r="C2186" s="5" t="s">
        <v>9509</v>
      </c>
      <c r="D2186" s="5" t="s">
        <v>9510</v>
      </c>
      <c r="E2186" s="6" t="s">
        <v>9511</v>
      </c>
      <c r="F2186" s="10"/>
      <c r="G2186" s="11" t="s">
        <v>9512</v>
      </c>
      <c r="H2186" s="12">
        <v>20</v>
      </c>
      <c r="I2186" s="13" t="s">
        <v>41</v>
      </c>
      <c r="J2186" s="13"/>
      <c r="K2186" s="13"/>
      <c r="L2186" s="4">
        <v>2</v>
      </c>
      <c r="M2186" s="14">
        <f>399*(1-P3/100)</f>
        <v>399</v>
      </c>
      <c r="N2186" s="15"/>
      <c r="O2186" s="13">
        <f t="shared" si="98"/>
        <v>0</v>
      </c>
      <c r="P2186" s="22">
        <f>0.186*N2186</f>
        <v>0</v>
      </c>
      <c r="Q2186" s="23">
        <f>0.00018*N2186</f>
        <v>0</v>
      </c>
      <c r="R2186" s="24"/>
      <c r="S2186" s="25" t="s">
        <v>9513</v>
      </c>
      <c r="T2186" s="25" t="s">
        <v>43</v>
      </c>
      <c r="U2186" s="5" t="s">
        <v>9268</v>
      </c>
      <c r="V2186" s="5"/>
      <c r="W2186" s="5" t="s">
        <v>2731</v>
      </c>
      <c r="X2186" s="5"/>
      <c r="Y2186" s="5"/>
      <c r="Z2186" s="5" t="str">
        <f>HYPERLINK("https://knigipp.ru/api/getInfo/image/25afdddd-e4be-11ed-a233-00155d82e902")</f>
        <v>https://knigipp.ru/api/getInfo/image/25afdddd-e4be-11ed-a233-00155d82e902</v>
      </c>
      <c r="AA2186" s="33">
        <v>128</v>
      </c>
      <c r="AB2186" s="5"/>
      <c r="AC2186" s="5" t="s">
        <v>86</v>
      </c>
      <c r="AD2186" s="5"/>
      <c r="AE2186" s="5" t="s">
        <v>49</v>
      </c>
      <c r="AF2186" s="5"/>
      <c r="AG2186" s="5" t="s">
        <v>9481</v>
      </c>
      <c r="AH2186" s="5" t="s">
        <v>9482</v>
      </c>
    </row>
    <row r="2187" spans="2:35" ht="21" customHeight="1" outlineLevel="4" x14ac:dyDescent="0.2">
      <c r="B2187" s="42">
        <v>1709</v>
      </c>
      <c r="C2187" s="5" t="s">
        <v>9514</v>
      </c>
      <c r="D2187" s="5" t="s">
        <v>9515</v>
      </c>
      <c r="E2187" s="6" t="s">
        <v>9516</v>
      </c>
      <c r="F2187" s="10"/>
      <c r="G2187" s="11" t="s">
        <v>9517</v>
      </c>
      <c r="H2187" s="12">
        <v>20</v>
      </c>
      <c r="I2187" s="13" t="s">
        <v>41</v>
      </c>
      <c r="J2187" s="13"/>
      <c r="K2187" s="13"/>
      <c r="L2187" s="4">
        <v>2</v>
      </c>
      <c r="M2187" s="14">
        <f>399*(1-P3/100)</f>
        <v>399</v>
      </c>
      <c r="N2187" s="15"/>
      <c r="O2187" s="13">
        <f t="shared" si="98"/>
        <v>0</v>
      </c>
      <c r="P2187" s="22">
        <f>0.191*N2187</f>
        <v>0</v>
      </c>
      <c r="Q2187" s="23">
        <f>0.00036*N2187</f>
        <v>0</v>
      </c>
      <c r="R2187" s="24"/>
      <c r="S2187" s="25" t="s">
        <v>9518</v>
      </c>
      <c r="T2187" s="25" t="s">
        <v>43</v>
      </c>
      <c r="U2187" s="5" t="s">
        <v>9254</v>
      </c>
      <c r="V2187" s="5" t="s">
        <v>9519</v>
      </c>
      <c r="W2187" s="5" t="s">
        <v>2731</v>
      </c>
      <c r="X2187" s="5"/>
      <c r="Y2187" s="5"/>
      <c r="Z2187" s="5" t="str">
        <f>HYPERLINK("https://knigipp.ru/api/getInfo/image/299f1c98-bf24-11ed-a230-00155d82e902")</f>
        <v>https://knigipp.ru/api/getInfo/image/299f1c98-bf24-11ed-a230-00155d82e902</v>
      </c>
      <c r="AA2187" s="33">
        <v>128</v>
      </c>
      <c r="AB2187" s="5"/>
      <c r="AC2187" s="5" t="s">
        <v>86</v>
      </c>
      <c r="AD2187" s="5"/>
      <c r="AE2187" s="5" t="s">
        <v>49</v>
      </c>
      <c r="AF2187" s="5"/>
      <c r="AG2187" s="5" t="s">
        <v>9481</v>
      </c>
      <c r="AH2187" s="5" t="s">
        <v>9482</v>
      </c>
    </row>
    <row r="2188" spans="2:35" ht="21" customHeight="1" outlineLevel="4" x14ac:dyDescent="0.2">
      <c r="B2188" s="42">
        <v>1710</v>
      </c>
      <c r="C2188" s="5" t="s">
        <v>9520</v>
      </c>
      <c r="D2188" s="5" t="s">
        <v>9521</v>
      </c>
      <c r="E2188" s="6" t="s">
        <v>9522</v>
      </c>
      <c r="F2188" s="10"/>
      <c r="G2188" s="11" t="s">
        <v>9523</v>
      </c>
      <c r="H2188" s="12">
        <v>20</v>
      </c>
      <c r="I2188" s="13" t="s">
        <v>371</v>
      </c>
      <c r="J2188" s="13"/>
      <c r="K2188" s="13"/>
      <c r="L2188" s="4">
        <v>2</v>
      </c>
      <c r="M2188" s="14">
        <f>399*(1-P3/100)</f>
        <v>399</v>
      </c>
      <c r="N2188" s="15"/>
      <c r="O2188" s="13">
        <f t="shared" si="98"/>
        <v>0</v>
      </c>
      <c r="P2188" s="22">
        <f>0.198*N2188</f>
        <v>0</v>
      </c>
      <c r="Q2188" s="23">
        <f>0.00042*N2188</f>
        <v>0</v>
      </c>
      <c r="R2188" s="24"/>
      <c r="S2188" s="25" t="s">
        <v>9524</v>
      </c>
      <c r="T2188" s="25" t="s">
        <v>43</v>
      </c>
      <c r="U2188" s="5" t="s">
        <v>4057</v>
      </c>
      <c r="V2188" s="5" t="s">
        <v>9525</v>
      </c>
      <c r="W2188" s="5" t="s">
        <v>2731</v>
      </c>
      <c r="X2188" s="5"/>
      <c r="Y2188" s="5"/>
      <c r="Z2188" s="5" t="str">
        <f>HYPERLINK("https://knigipp.ru/api/getInfo/image/49e7e926-1f16-11ee-a23c-00155d82e902")</f>
        <v>https://knigipp.ru/api/getInfo/image/49e7e926-1f16-11ee-a23c-00155d82e902</v>
      </c>
      <c r="AA2188" s="33">
        <v>128</v>
      </c>
      <c r="AB2188" s="5" t="s">
        <v>47</v>
      </c>
      <c r="AC2188" s="5" t="s">
        <v>86</v>
      </c>
      <c r="AD2188" s="5"/>
      <c r="AE2188" s="5" t="s">
        <v>49</v>
      </c>
      <c r="AF2188" s="5"/>
      <c r="AG2188" s="5" t="s">
        <v>9481</v>
      </c>
      <c r="AH2188" s="5" t="s">
        <v>9482</v>
      </c>
    </row>
    <row r="2189" spans="2:35" ht="21" customHeight="1" outlineLevel="4" x14ac:dyDescent="0.2">
      <c r="B2189" s="42">
        <v>1711</v>
      </c>
      <c r="C2189" s="5" t="s">
        <v>9526</v>
      </c>
      <c r="D2189" s="5" t="s">
        <v>9527</v>
      </c>
      <c r="E2189" s="6" t="s">
        <v>9528</v>
      </c>
      <c r="F2189" s="10"/>
      <c r="G2189" s="11" t="s">
        <v>9529</v>
      </c>
      <c r="H2189" s="12">
        <v>20</v>
      </c>
      <c r="I2189" s="13" t="s">
        <v>371</v>
      </c>
      <c r="J2189" s="13"/>
      <c r="K2189" s="13"/>
      <c r="L2189" s="4">
        <v>2</v>
      </c>
      <c r="M2189" s="14">
        <f>399*(1-P3/100)</f>
        <v>399</v>
      </c>
      <c r="N2189" s="15"/>
      <c r="O2189" s="13">
        <f t="shared" si="98"/>
        <v>0</v>
      </c>
      <c r="P2189" s="22">
        <f>0.192*N2189</f>
        <v>0</v>
      </c>
      <c r="Q2189" s="23">
        <f>0.00054*N2189</f>
        <v>0</v>
      </c>
      <c r="R2189" s="24"/>
      <c r="S2189" s="25" t="s">
        <v>9530</v>
      </c>
      <c r="T2189" s="25" t="s">
        <v>43</v>
      </c>
      <c r="U2189" s="5" t="s">
        <v>9531</v>
      </c>
      <c r="V2189" s="5" t="s">
        <v>9532</v>
      </c>
      <c r="W2189" s="5" t="s">
        <v>2731</v>
      </c>
      <c r="X2189" s="5"/>
      <c r="Y2189" s="5"/>
      <c r="Z2189" s="5" t="str">
        <f>HYPERLINK("https://knigipp.ru/api/getInfo/image/77bdeb27-bf24-11ed-a230-00155d82e902")</f>
        <v>https://knigipp.ru/api/getInfo/image/77bdeb27-bf24-11ed-a230-00155d82e902</v>
      </c>
      <c r="AA2189" s="33">
        <v>128</v>
      </c>
      <c r="AB2189" s="5"/>
      <c r="AC2189" s="5" t="s">
        <v>86</v>
      </c>
      <c r="AD2189" s="5"/>
      <c r="AE2189" s="5" t="s">
        <v>49</v>
      </c>
      <c r="AF2189" s="5"/>
      <c r="AG2189" s="5" t="s">
        <v>9481</v>
      </c>
      <c r="AH2189" s="5" t="s">
        <v>9482</v>
      </c>
    </row>
    <row r="2190" spans="2:35" ht="21" customHeight="1" outlineLevel="4" x14ac:dyDescent="0.2">
      <c r="B2190" s="42">
        <v>1712</v>
      </c>
      <c r="C2190" s="5" t="s">
        <v>9533</v>
      </c>
      <c r="D2190" s="5" t="s">
        <v>9534</v>
      </c>
      <c r="E2190" s="6" t="s">
        <v>9535</v>
      </c>
      <c r="F2190" s="10"/>
      <c r="G2190" s="11" t="s">
        <v>9536</v>
      </c>
      <c r="H2190" s="12">
        <v>20</v>
      </c>
      <c r="I2190" s="13" t="s">
        <v>41</v>
      </c>
      <c r="J2190" s="13"/>
      <c r="K2190" s="13"/>
      <c r="L2190" s="4">
        <v>2</v>
      </c>
      <c r="M2190" s="14">
        <f>399*(1-P3/100)</f>
        <v>399</v>
      </c>
      <c r="N2190" s="15"/>
      <c r="O2190" s="13">
        <f t="shared" si="98"/>
        <v>0</v>
      </c>
      <c r="P2190" s="32">
        <f>0.18*N2190</f>
        <v>0</v>
      </c>
      <c r="Q2190" s="23">
        <f>0.00034*N2190</f>
        <v>0</v>
      </c>
      <c r="R2190" s="24"/>
      <c r="S2190" s="25" t="s">
        <v>9537</v>
      </c>
      <c r="T2190" s="25" t="s">
        <v>43</v>
      </c>
      <c r="U2190" s="5" t="s">
        <v>9538</v>
      </c>
      <c r="V2190" s="5"/>
      <c r="W2190" s="5" t="s">
        <v>2731</v>
      </c>
      <c r="X2190" s="5"/>
      <c r="Y2190" s="5"/>
      <c r="Z2190" s="5" t="str">
        <f>HYPERLINK("https://knigipp.ru/api/getInfo/image/c7478e73-23c0-11e9-a21d-ac1f6b442184")</f>
        <v>https://knigipp.ru/api/getInfo/image/c7478e73-23c0-11e9-a21d-ac1f6b442184</v>
      </c>
      <c r="AA2190" s="33">
        <v>128</v>
      </c>
      <c r="AB2190" s="5"/>
      <c r="AC2190" s="5" t="s">
        <v>86</v>
      </c>
      <c r="AD2190" s="5"/>
      <c r="AE2190" s="5" t="s">
        <v>49</v>
      </c>
      <c r="AF2190" s="5"/>
      <c r="AG2190" s="5" t="s">
        <v>9481</v>
      </c>
      <c r="AH2190" s="5" t="s">
        <v>9482</v>
      </c>
    </row>
    <row r="2191" spans="2:35" ht="21" customHeight="1" outlineLevel="4" x14ac:dyDescent="0.2">
      <c r="B2191" s="42">
        <v>1713</v>
      </c>
      <c r="C2191" s="5" t="s">
        <v>9539</v>
      </c>
      <c r="D2191" s="5" t="s">
        <v>9540</v>
      </c>
      <c r="E2191" s="6" t="s">
        <v>9541</v>
      </c>
      <c r="F2191" s="10"/>
      <c r="G2191" s="11" t="s">
        <v>9542</v>
      </c>
      <c r="H2191" s="12">
        <v>20</v>
      </c>
      <c r="I2191" s="13" t="s">
        <v>41</v>
      </c>
      <c r="J2191" s="13"/>
      <c r="K2191" s="13"/>
      <c r="L2191" s="4">
        <v>2</v>
      </c>
      <c r="M2191" s="14">
        <f>399*(1-P3/100)</f>
        <v>399</v>
      </c>
      <c r="N2191" s="15"/>
      <c r="O2191" s="13">
        <f t="shared" si="98"/>
        <v>0</v>
      </c>
      <c r="P2191" s="22">
        <f>0.183*N2191</f>
        <v>0</v>
      </c>
      <c r="Q2191" s="23">
        <f>0.00015*N2191</f>
        <v>0</v>
      </c>
      <c r="R2191" s="24"/>
      <c r="S2191" s="25" t="s">
        <v>9543</v>
      </c>
      <c r="T2191" s="25" t="s">
        <v>43</v>
      </c>
      <c r="U2191" s="5" t="s">
        <v>9544</v>
      </c>
      <c r="V2191" s="5" t="s">
        <v>9545</v>
      </c>
      <c r="W2191" s="5" t="s">
        <v>46</v>
      </c>
      <c r="X2191" s="5"/>
      <c r="Y2191" s="5"/>
      <c r="Z2191" s="5" t="str">
        <f>HYPERLINK("https://knigipp.ru/api/getInfo/image/1b0b922c-25bc-11f0-a279-00155d82e908")</f>
        <v>https://knigipp.ru/api/getInfo/image/1b0b922c-25bc-11f0-a279-00155d82e908</v>
      </c>
      <c r="AA2191" s="33">
        <v>128</v>
      </c>
      <c r="AB2191" s="5" t="s">
        <v>47</v>
      </c>
      <c r="AC2191" s="5" t="s">
        <v>86</v>
      </c>
      <c r="AD2191" s="5"/>
      <c r="AE2191" s="5" t="s">
        <v>49</v>
      </c>
      <c r="AF2191" s="5"/>
      <c r="AG2191" s="5"/>
      <c r="AH2191" s="5" t="s">
        <v>9032</v>
      </c>
    </row>
    <row r="2192" spans="2:35" ht="21" customHeight="1" outlineLevel="4" x14ac:dyDescent="0.2">
      <c r="B2192" s="42">
        <v>1714</v>
      </c>
      <c r="C2192" s="5" t="s">
        <v>9546</v>
      </c>
      <c r="D2192" s="5" t="s">
        <v>9547</v>
      </c>
      <c r="E2192" s="6" t="s">
        <v>9548</v>
      </c>
      <c r="F2192" s="10"/>
      <c r="G2192" s="11" t="s">
        <v>9549</v>
      </c>
      <c r="H2192" s="12">
        <v>20</v>
      </c>
      <c r="I2192" s="13" t="s">
        <v>41</v>
      </c>
      <c r="J2192" s="13"/>
      <c r="K2192" s="13"/>
      <c r="L2192" s="4">
        <v>2</v>
      </c>
      <c r="M2192" s="14">
        <f>399*(1-P3/100)</f>
        <v>399</v>
      </c>
      <c r="N2192" s="15"/>
      <c r="O2192" s="13">
        <f t="shared" si="98"/>
        <v>0</v>
      </c>
      <c r="P2192" s="22">
        <f>0.195*N2192</f>
        <v>0</v>
      </c>
      <c r="Q2192" s="30">
        <f>0.0003*N2192</f>
        <v>0</v>
      </c>
      <c r="R2192" s="24"/>
      <c r="S2192" s="25" t="s">
        <v>9550</v>
      </c>
      <c r="T2192" s="25" t="s">
        <v>43</v>
      </c>
      <c r="U2192" s="5" t="s">
        <v>9551</v>
      </c>
      <c r="V2192" s="5" t="s">
        <v>9552</v>
      </c>
      <c r="W2192" s="5" t="s">
        <v>2731</v>
      </c>
      <c r="X2192" s="5"/>
      <c r="Y2192" s="5"/>
      <c r="Z2192" s="5" t="str">
        <f>HYPERLINK("https://knigipp.ru/api/getInfo/image/d57fe71a-f4c6-11e9-a235-ac1f6b442184")</f>
        <v>https://knigipp.ru/api/getInfo/image/d57fe71a-f4c6-11e9-a235-ac1f6b442184</v>
      </c>
      <c r="AA2192" s="33">
        <v>112</v>
      </c>
      <c r="AB2192" s="5"/>
      <c r="AC2192" s="5" t="s">
        <v>86</v>
      </c>
      <c r="AD2192" s="5"/>
      <c r="AE2192" s="5" t="s">
        <v>49</v>
      </c>
      <c r="AF2192" s="5"/>
      <c r="AG2192" s="5" t="s">
        <v>9481</v>
      </c>
      <c r="AH2192" s="5" t="s">
        <v>9553</v>
      </c>
    </row>
    <row r="2193" spans="2:34" ht="22.95" customHeight="1" outlineLevel="3" x14ac:dyDescent="0.2">
      <c r="B2193" s="74" t="s">
        <v>9554</v>
      </c>
      <c r="C2193" s="74"/>
      <c r="D2193" s="74"/>
    </row>
    <row r="2194" spans="2:34" ht="21" customHeight="1" outlineLevel="4" x14ac:dyDescent="0.2">
      <c r="B2194" s="42">
        <v>1715</v>
      </c>
      <c r="C2194" s="5" t="s">
        <v>9555</v>
      </c>
      <c r="D2194" s="5" t="s">
        <v>9556</v>
      </c>
      <c r="E2194" s="6" t="s">
        <v>9557</v>
      </c>
      <c r="F2194" s="10"/>
      <c r="G2194" s="11" t="s">
        <v>9558</v>
      </c>
      <c r="H2194" s="12">
        <v>10</v>
      </c>
      <c r="I2194" s="13" t="s">
        <v>41</v>
      </c>
      <c r="J2194" s="13"/>
      <c r="K2194" s="13"/>
      <c r="L2194" s="4">
        <v>2</v>
      </c>
      <c r="M2194" s="14">
        <f>317*(1-P3/100)</f>
        <v>317</v>
      </c>
      <c r="N2194" s="15"/>
      <c r="O2194" s="13">
        <f t="shared" ref="O2194:O2207" si="99">M2194*N2194</f>
        <v>0</v>
      </c>
      <c r="P2194" s="22">
        <f>0.338*N2194</f>
        <v>0</v>
      </c>
      <c r="Q2194" s="23">
        <f>0.02065*N2194</f>
        <v>0</v>
      </c>
      <c r="R2194" s="24"/>
      <c r="S2194" s="25" t="s">
        <v>9559</v>
      </c>
      <c r="T2194" s="25" t="s">
        <v>43</v>
      </c>
      <c r="U2194" s="5" t="s">
        <v>9560</v>
      </c>
      <c r="V2194" s="5" t="s">
        <v>9561</v>
      </c>
      <c r="W2194" s="5" t="s">
        <v>2612</v>
      </c>
      <c r="X2194" s="5"/>
      <c r="Y2194" s="5"/>
      <c r="Z2194" s="5" t="str">
        <f>HYPERLINK("https://knigipp.ru/api/getInfo/image/292db67e-9780-11ef-a267-00155d82e908")</f>
        <v>https://knigipp.ru/api/getInfo/image/292db67e-9780-11ef-a267-00155d82e908</v>
      </c>
      <c r="AA2194" s="33">
        <v>176</v>
      </c>
      <c r="AB2194" s="5" t="s">
        <v>761</v>
      </c>
      <c r="AC2194" s="5" t="s">
        <v>86</v>
      </c>
      <c r="AD2194" s="5"/>
      <c r="AE2194" s="5" t="s">
        <v>49</v>
      </c>
      <c r="AF2194" s="5"/>
      <c r="AG2194" s="5"/>
      <c r="AH2194" s="5" t="s">
        <v>9562</v>
      </c>
    </row>
    <row r="2195" spans="2:34" ht="21" customHeight="1" outlineLevel="4" x14ac:dyDescent="0.2">
      <c r="B2195" s="42">
        <v>1716</v>
      </c>
      <c r="C2195" s="5" t="s">
        <v>9563</v>
      </c>
      <c r="D2195" s="5" t="s">
        <v>9564</v>
      </c>
      <c r="E2195" s="6" t="s">
        <v>9565</v>
      </c>
      <c r="F2195" s="10"/>
      <c r="G2195" s="11" t="s">
        <v>9566</v>
      </c>
      <c r="H2195" s="12">
        <v>6</v>
      </c>
      <c r="I2195" s="13" t="s">
        <v>41</v>
      </c>
      <c r="J2195" s="13"/>
      <c r="K2195" s="13"/>
      <c r="L2195" s="4">
        <v>1</v>
      </c>
      <c r="M2195" s="14">
        <f>687*(1-P3/100)</f>
        <v>687</v>
      </c>
      <c r="N2195" s="15"/>
      <c r="O2195" s="13">
        <f t="shared" si="99"/>
        <v>0</v>
      </c>
      <c r="P2195" s="22">
        <f>0.626*N2195</f>
        <v>0</v>
      </c>
      <c r="Q2195" s="23">
        <f>0.00094*N2195</f>
        <v>0</v>
      </c>
      <c r="R2195" s="24"/>
      <c r="S2195" s="25" t="s">
        <v>9567</v>
      </c>
      <c r="T2195" s="25" t="s">
        <v>43</v>
      </c>
      <c r="U2195" s="5" t="s">
        <v>9568</v>
      </c>
      <c r="V2195" s="5" t="s">
        <v>9569</v>
      </c>
      <c r="W2195" s="5" t="s">
        <v>2612</v>
      </c>
      <c r="X2195" s="5"/>
      <c r="Y2195" s="5"/>
      <c r="Z2195" s="5" t="str">
        <f>HYPERLINK("https://knigipp.ru/api/getInfo/image/783c328c-2511-11ec-a20f-ac1f6b442185")</f>
        <v>https://knigipp.ru/api/getInfo/image/783c328c-2511-11ec-a20f-ac1f6b442185</v>
      </c>
      <c r="AA2195" s="33">
        <v>384</v>
      </c>
      <c r="AB2195" s="5" t="s">
        <v>761</v>
      </c>
      <c r="AC2195" s="5" t="s">
        <v>86</v>
      </c>
      <c r="AD2195" s="5"/>
      <c r="AE2195" s="5" t="s">
        <v>49</v>
      </c>
      <c r="AF2195" s="5"/>
      <c r="AG2195" s="5"/>
      <c r="AH2195" s="5" t="s">
        <v>8461</v>
      </c>
    </row>
    <row r="2196" spans="2:34" ht="21" customHeight="1" outlineLevel="4" x14ac:dyDescent="0.2">
      <c r="B2196" s="42">
        <v>1717</v>
      </c>
      <c r="C2196" s="5" t="s">
        <v>9570</v>
      </c>
      <c r="D2196" s="5" t="s">
        <v>9571</v>
      </c>
      <c r="E2196" s="6" t="s">
        <v>9572</v>
      </c>
      <c r="F2196" s="10"/>
      <c r="G2196" s="11" t="s">
        <v>9573</v>
      </c>
      <c r="H2196" s="12">
        <v>10</v>
      </c>
      <c r="I2196" s="13" t="s">
        <v>41</v>
      </c>
      <c r="J2196" s="13"/>
      <c r="K2196" s="13"/>
      <c r="L2196" s="4">
        <v>2</v>
      </c>
      <c r="M2196" s="14">
        <f>317*(1-P3/100)</f>
        <v>317</v>
      </c>
      <c r="N2196" s="15"/>
      <c r="O2196" s="13">
        <f t="shared" si="99"/>
        <v>0</v>
      </c>
      <c r="P2196" s="22">
        <f>0.333*N2196</f>
        <v>0</v>
      </c>
      <c r="Q2196" s="23">
        <f>0.00044*N2196</f>
        <v>0</v>
      </c>
      <c r="R2196" s="24"/>
      <c r="S2196" s="25" t="s">
        <v>9574</v>
      </c>
      <c r="T2196" s="25" t="s">
        <v>43</v>
      </c>
      <c r="U2196" s="5" t="s">
        <v>9575</v>
      </c>
      <c r="V2196" s="5" t="s">
        <v>9576</v>
      </c>
      <c r="W2196" s="5" t="s">
        <v>2612</v>
      </c>
      <c r="X2196" s="5"/>
      <c r="Y2196" s="5"/>
      <c r="Z2196" s="5" t="str">
        <f>HYPERLINK("https://knigipp.ru/api/getInfo/image/59972404-2510-11ec-a20f-ac1f6b442185")</f>
        <v>https://knigipp.ru/api/getInfo/image/59972404-2510-11ec-a20f-ac1f6b442185</v>
      </c>
      <c r="AA2196" s="33">
        <v>176</v>
      </c>
      <c r="AB2196" s="5" t="s">
        <v>761</v>
      </c>
      <c r="AC2196" s="5" t="s">
        <v>86</v>
      </c>
      <c r="AD2196" s="5"/>
      <c r="AE2196" s="5" t="s">
        <v>49</v>
      </c>
      <c r="AF2196" s="5"/>
      <c r="AG2196" s="5"/>
      <c r="AH2196" s="5" t="s">
        <v>9577</v>
      </c>
    </row>
    <row r="2197" spans="2:34" ht="21" customHeight="1" outlineLevel="4" x14ac:dyDescent="0.2">
      <c r="B2197" s="42">
        <v>1718</v>
      </c>
      <c r="C2197" s="5" t="s">
        <v>9578</v>
      </c>
      <c r="D2197" s="5" t="s">
        <v>9579</v>
      </c>
      <c r="E2197" s="6" t="s">
        <v>9580</v>
      </c>
      <c r="F2197" s="10"/>
      <c r="G2197" s="11" t="s">
        <v>9581</v>
      </c>
      <c r="H2197" s="12">
        <v>10</v>
      </c>
      <c r="I2197" s="13" t="s">
        <v>41</v>
      </c>
      <c r="J2197" s="13"/>
      <c r="K2197" s="13"/>
      <c r="L2197" s="4">
        <v>2</v>
      </c>
      <c r="M2197" s="14">
        <f>457*(1-P3/100)</f>
        <v>457</v>
      </c>
      <c r="N2197" s="15"/>
      <c r="O2197" s="13">
        <f t="shared" si="99"/>
        <v>0</v>
      </c>
      <c r="P2197" s="22">
        <f>0.378*N2197</f>
        <v>0</v>
      </c>
      <c r="Q2197" s="23">
        <f>0.00053*N2197</f>
        <v>0</v>
      </c>
      <c r="R2197" s="24"/>
      <c r="S2197" s="25" t="s">
        <v>9582</v>
      </c>
      <c r="T2197" s="25" t="s">
        <v>43</v>
      </c>
      <c r="U2197" s="5" t="s">
        <v>9583</v>
      </c>
      <c r="V2197" s="5" t="s">
        <v>9584</v>
      </c>
      <c r="W2197" s="5" t="s">
        <v>2612</v>
      </c>
      <c r="X2197" s="5"/>
      <c r="Y2197" s="5"/>
      <c r="Z2197" s="5" t="str">
        <f>HYPERLINK("https://knigipp.ru/api/getInfo/image/8af3740a-977f-11ef-a267-00155d82e908")</f>
        <v>https://knigipp.ru/api/getInfo/image/8af3740a-977f-11ef-a267-00155d82e908</v>
      </c>
      <c r="AA2197" s="33">
        <v>208</v>
      </c>
      <c r="AB2197" s="5" t="s">
        <v>761</v>
      </c>
      <c r="AC2197" s="5" t="s">
        <v>86</v>
      </c>
      <c r="AD2197" s="5"/>
      <c r="AE2197" s="5" t="s">
        <v>49</v>
      </c>
      <c r="AF2197" s="5"/>
      <c r="AG2197" s="5"/>
      <c r="AH2197" s="5" t="s">
        <v>9585</v>
      </c>
    </row>
    <row r="2198" spans="2:34" ht="21" customHeight="1" outlineLevel="4" x14ac:dyDescent="0.2">
      <c r="B2198" s="42">
        <v>1719</v>
      </c>
      <c r="C2198" s="5" t="s">
        <v>9586</v>
      </c>
      <c r="D2198" s="5" t="s">
        <v>9587</v>
      </c>
      <c r="E2198" s="6" t="s">
        <v>9588</v>
      </c>
      <c r="F2198" s="10"/>
      <c r="G2198" s="11" t="s">
        <v>9589</v>
      </c>
      <c r="H2198" s="12">
        <v>10</v>
      </c>
      <c r="I2198" s="13" t="s">
        <v>41</v>
      </c>
      <c r="J2198" s="13"/>
      <c r="K2198" s="13"/>
      <c r="L2198" s="4">
        <v>2</v>
      </c>
      <c r="M2198" s="14">
        <f>327*(1-P3/100)</f>
        <v>327</v>
      </c>
      <c r="N2198" s="15"/>
      <c r="O2198" s="13">
        <f t="shared" si="99"/>
        <v>0</v>
      </c>
      <c r="P2198" s="22">
        <f>0.359*N2198</f>
        <v>0</v>
      </c>
      <c r="Q2198" s="23">
        <f>0.00057*N2198</f>
        <v>0</v>
      </c>
      <c r="R2198" s="24"/>
      <c r="S2198" s="25" t="s">
        <v>9590</v>
      </c>
      <c r="T2198" s="25" t="s">
        <v>43</v>
      </c>
      <c r="U2198" s="5" t="s">
        <v>9114</v>
      </c>
      <c r="V2198" s="5" t="s">
        <v>9591</v>
      </c>
      <c r="W2198" s="5" t="s">
        <v>2612</v>
      </c>
      <c r="X2198" s="5"/>
      <c r="Y2198" s="5"/>
      <c r="Z2198" s="5" t="str">
        <f>HYPERLINK("https://knigipp.ru/api/getInfo/image/5e0008aa-250f-11ec-a20f-ac1f6b442185")</f>
        <v>https://knigipp.ru/api/getInfo/image/5e0008aa-250f-11ec-a20f-ac1f6b442185</v>
      </c>
      <c r="AA2198" s="33">
        <v>192</v>
      </c>
      <c r="AB2198" s="5" t="s">
        <v>761</v>
      </c>
      <c r="AC2198" s="5" t="s">
        <v>86</v>
      </c>
      <c r="AD2198" s="5"/>
      <c r="AE2198" s="5" t="s">
        <v>49</v>
      </c>
      <c r="AF2198" s="5"/>
      <c r="AG2198" s="5"/>
      <c r="AH2198" s="5" t="s">
        <v>9577</v>
      </c>
    </row>
    <row r="2199" spans="2:34" ht="21" customHeight="1" outlineLevel="4" x14ac:dyDescent="0.2">
      <c r="B2199" s="42">
        <v>1720</v>
      </c>
      <c r="C2199" s="5" t="s">
        <v>9592</v>
      </c>
      <c r="D2199" s="5" t="s">
        <v>9593</v>
      </c>
      <c r="E2199" s="6" t="s">
        <v>9594</v>
      </c>
      <c r="F2199" s="10"/>
      <c r="G2199" s="11" t="s">
        <v>9595</v>
      </c>
      <c r="H2199" s="12">
        <v>10</v>
      </c>
      <c r="I2199" s="13" t="s">
        <v>41</v>
      </c>
      <c r="J2199" s="13"/>
      <c r="K2199" s="13"/>
      <c r="L2199" s="4">
        <v>2</v>
      </c>
      <c r="M2199" s="14">
        <f>317*(1-P3/100)</f>
        <v>317</v>
      </c>
      <c r="N2199" s="15"/>
      <c r="O2199" s="13">
        <f t="shared" si="99"/>
        <v>0</v>
      </c>
      <c r="P2199" s="22">
        <f>0.336*N2199</f>
        <v>0</v>
      </c>
      <c r="Q2199" s="23">
        <f>0.00047*N2199</f>
        <v>0</v>
      </c>
      <c r="R2199" s="24"/>
      <c r="S2199" s="25" t="s">
        <v>9596</v>
      </c>
      <c r="T2199" s="25" t="s">
        <v>43</v>
      </c>
      <c r="U2199" s="5" t="s">
        <v>9114</v>
      </c>
      <c r="V2199" s="5" t="s">
        <v>9597</v>
      </c>
      <c r="W2199" s="5" t="s">
        <v>2612</v>
      </c>
      <c r="X2199" s="5"/>
      <c r="Y2199" s="5"/>
      <c r="Z2199" s="5" t="str">
        <f>HYPERLINK("https://knigipp.ru/api/getInfo/image/185d49dd-250f-11ec-a20f-ac1f6b442185")</f>
        <v>https://knigipp.ru/api/getInfo/image/185d49dd-250f-11ec-a20f-ac1f6b442185</v>
      </c>
      <c r="AA2199" s="33">
        <v>176</v>
      </c>
      <c r="AB2199" s="5" t="s">
        <v>761</v>
      </c>
      <c r="AC2199" s="5" t="s">
        <v>86</v>
      </c>
      <c r="AD2199" s="5"/>
      <c r="AE2199" s="5" t="s">
        <v>49</v>
      </c>
      <c r="AF2199" s="5"/>
      <c r="AG2199" s="5"/>
      <c r="AH2199" s="5" t="s">
        <v>1939</v>
      </c>
    </row>
    <row r="2200" spans="2:34" ht="21" customHeight="1" outlineLevel="4" x14ac:dyDescent="0.2">
      <c r="B2200" s="42">
        <v>1721</v>
      </c>
      <c r="C2200" s="5" t="s">
        <v>9598</v>
      </c>
      <c r="D2200" s="5" t="s">
        <v>9599</v>
      </c>
      <c r="E2200" s="6" t="s">
        <v>9600</v>
      </c>
      <c r="F2200" s="10"/>
      <c r="G2200" s="11" t="s">
        <v>9601</v>
      </c>
      <c r="H2200" s="12">
        <v>4</v>
      </c>
      <c r="I2200" s="13" t="s">
        <v>41</v>
      </c>
      <c r="J2200" s="13"/>
      <c r="K2200" s="13"/>
      <c r="L2200" s="4">
        <v>1</v>
      </c>
      <c r="M2200" s="35">
        <f>1077*(1-P3/100)</f>
        <v>1077</v>
      </c>
      <c r="N2200" s="15"/>
      <c r="O2200" s="13">
        <f t="shared" si="99"/>
        <v>0</v>
      </c>
      <c r="P2200" s="22">
        <f>1.021*N2200</f>
        <v>0</v>
      </c>
      <c r="Q2200" s="23">
        <f>0.00165*N2200</f>
        <v>0</v>
      </c>
      <c r="R2200" s="24"/>
      <c r="S2200" s="25" t="s">
        <v>9602</v>
      </c>
      <c r="T2200" s="25" t="s">
        <v>43</v>
      </c>
      <c r="U2200" s="5" t="s">
        <v>9603</v>
      </c>
      <c r="V2200" s="5" t="s">
        <v>9604</v>
      </c>
      <c r="W2200" s="5" t="s">
        <v>2612</v>
      </c>
      <c r="X2200" s="5"/>
      <c r="Y2200" s="5"/>
      <c r="Z2200" s="5" t="str">
        <f>HYPERLINK("https://knigipp.ru/api/getInfo/image/c7e35785-250e-11ec-a20f-ac1f6b442185")</f>
        <v>https://knigipp.ru/api/getInfo/image/c7e35785-250e-11ec-a20f-ac1f6b442185</v>
      </c>
      <c r="AA2200" s="33">
        <v>672</v>
      </c>
      <c r="AB2200" s="5" t="s">
        <v>761</v>
      </c>
      <c r="AC2200" s="5" t="s">
        <v>86</v>
      </c>
      <c r="AD2200" s="5"/>
      <c r="AE2200" s="5" t="s">
        <v>49</v>
      </c>
      <c r="AF2200" s="5"/>
      <c r="AG2200" s="5"/>
      <c r="AH2200" s="5" t="s">
        <v>9605</v>
      </c>
    </row>
    <row r="2201" spans="2:34" ht="21" customHeight="1" outlineLevel="4" x14ac:dyDescent="0.2">
      <c r="B2201" s="42">
        <v>1722</v>
      </c>
      <c r="C2201" s="5" t="s">
        <v>9606</v>
      </c>
      <c r="D2201" s="5" t="s">
        <v>9607</v>
      </c>
      <c r="E2201" s="6" t="s">
        <v>9608</v>
      </c>
      <c r="F2201" s="10"/>
      <c r="G2201" s="11" t="s">
        <v>9609</v>
      </c>
      <c r="H2201" s="12">
        <v>10</v>
      </c>
      <c r="I2201" s="13" t="s">
        <v>41</v>
      </c>
      <c r="J2201" s="13"/>
      <c r="K2201" s="13"/>
      <c r="L2201" s="4">
        <v>2</v>
      </c>
      <c r="M2201" s="14">
        <f>387*(1-P3/100)</f>
        <v>387</v>
      </c>
      <c r="N2201" s="15"/>
      <c r="O2201" s="13">
        <f t="shared" si="99"/>
        <v>0</v>
      </c>
      <c r="P2201" s="22">
        <f>0.446*N2201</f>
        <v>0</v>
      </c>
      <c r="Q2201" s="23">
        <f>0.00077*N2201</f>
        <v>0</v>
      </c>
      <c r="R2201" s="24"/>
      <c r="S2201" s="25" t="s">
        <v>9610</v>
      </c>
      <c r="T2201" s="25" t="s">
        <v>43</v>
      </c>
      <c r="U2201" s="5" t="s">
        <v>9611</v>
      </c>
      <c r="V2201" s="5" t="s">
        <v>9612</v>
      </c>
      <c r="W2201" s="5" t="s">
        <v>2612</v>
      </c>
      <c r="X2201" s="5"/>
      <c r="Y2201" s="5"/>
      <c r="Z2201" s="5" t="str">
        <f>HYPERLINK("https://knigipp.ru/api/getInfo/image/ad3bda64-2510-11ec-a20f-ac1f6b442185")</f>
        <v>https://knigipp.ru/api/getInfo/image/ad3bda64-2510-11ec-a20f-ac1f6b442185</v>
      </c>
      <c r="AA2201" s="33">
        <v>256</v>
      </c>
      <c r="AB2201" s="5" t="s">
        <v>761</v>
      </c>
      <c r="AC2201" s="5" t="s">
        <v>86</v>
      </c>
      <c r="AD2201" s="5"/>
      <c r="AE2201" s="5" t="s">
        <v>49</v>
      </c>
      <c r="AF2201" s="5"/>
      <c r="AG2201" s="5"/>
      <c r="AH2201" s="5" t="s">
        <v>9613</v>
      </c>
    </row>
    <row r="2202" spans="2:34" ht="21" customHeight="1" outlineLevel="4" x14ac:dyDescent="0.2">
      <c r="B2202" s="42">
        <v>1723</v>
      </c>
      <c r="C2202" s="5" t="s">
        <v>9614</v>
      </c>
      <c r="D2202" s="5" t="s">
        <v>9615</v>
      </c>
      <c r="E2202" s="6" t="s">
        <v>9616</v>
      </c>
      <c r="F2202" s="10"/>
      <c r="G2202" s="11" t="s">
        <v>9617</v>
      </c>
      <c r="H2202" s="12">
        <v>10</v>
      </c>
      <c r="I2202" s="13" t="s">
        <v>41</v>
      </c>
      <c r="J2202" s="13"/>
      <c r="K2202" s="13"/>
      <c r="L2202" s="4">
        <v>2</v>
      </c>
      <c r="M2202" s="14">
        <f>387*(1-P3/100)</f>
        <v>387</v>
      </c>
      <c r="N2202" s="15"/>
      <c r="O2202" s="13">
        <f t="shared" si="99"/>
        <v>0</v>
      </c>
      <c r="P2202" s="22">
        <f>0.447*N2202</f>
        <v>0</v>
      </c>
      <c r="Q2202" s="23">
        <f>0.00059*N2202</f>
        <v>0</v>
      </c>
      <c r="R2202" s="24"/>
      <c r="S2202" s="25" t="s">
        <v>9618</v>
      </c>
      <c r="T2202" s="25" t="s">
        <v>43</v>
      </c>
      <c r="U2202" s="5" t="s">
        <v>9619</v>
      </c>
      <c r="V2202" s="5" t="s">
        <v>9620</v>
      </c>
      <c r="W2202" s="5" t="s">
        <v>2612</v>
      </c>
      <c r="X2202" s="5"/>
      <c r="Y2202" s="5"/>
      <c r="Z2202" s="5" t="str">
        <f>HYPERLINK("https://knigipp.ru/api/getInfo/image/b70ddbe9-250f-11ec-a20f-ac1f6b442185")</f>
        <v>https://knigipp.ru/api/getInfo/image/b70ddbe9-250f-11ec-a20f-ac1f6b442185</v>
      </c>
      <c r="AA2202" s="33">
        <v>256</v>
      </c>
      <c r="AB2202" s="5" t="s">
        <v>761</v>
      </c>
      <c r="AC2202" s="5" t="s">
        <v>86</v>
      </c>
      <c r="AD2202" s="5"/>
      <c r="AE2202" s="5" t="s">
        <v>49</v>
      </c>
      <c r="AF2202" s="5"/>
      <c r="AG2202" s="5"/>
      <c r="AH2202" s="5" t="s">
        <v>9613</v>
      </c>
    </row>
    <row r="2203" spans="2:34" ht="21" customHeight="1" outlineLevel="4" x14ac:dyDescent="0.2">
      <c r="B2203" s="42">
        <v>1724</v>
      </c>
      <c r="C2203" s="5" t="s">
        <v>9621</v>
      </c>
      <c r="D2203" s="5" t="s">
        <v>9622</v>
      </c>
      <c r="E2203" s="6" t="s">
        <v>9623</v>
      </c>
      <c r="F2203" s="10"/>
      <c r="G2203" s="11" t="s">
        <v>9624</v>
      </c>
      <c r="H2203" s="12">
        <v>10</v>
      </c>
      <c r="I2203" s="13" t="s">
        <v>41</v>
      </c>
      <c r="J2203" s="13"/>
      <c r="K2203" s="13"/>
      <c r="L2203" s="4">
        <v>2</v>
      </c>
      <c r="M2203" s="14">
        <f>327*(1-P3/100)</f>
        <v>327</v>
      </c>
      <c r="N2203" s="15"/>
      <c r="O2203" s="13">
        <f t="shared" si="99"/>
        <v>0</v>
      </c>
      <c r="P2203" s="22">
        <f>0.333*N2203</f>
        <v>0</v>
      </c>
      <c r="Q2203" s="23">
        <f>0.00044*N2203</f>
        <v>0</v>
      </c>
      <c r="R2203" s="24"/>
      <c r="S2203" s="25" t="s">
        <v>9625</v>
      </c>
      <c r="T2203" s="25" t="s">
        <v>43</v>
      </c>
      <c r="U2203" s="5" t="s">
        <v>9626</v>
      </c>
      <c r="V2203" s="5" t="s">
        <v>9627</v>
      </c>
      <c r="W2203" s="5" t="s">
        <v>2612</v>
      </c>
      <c r="X2203" s="5"/>
      <c r="Y2203" s="5"/>
      <c r="Z2203" s="5" t="str">
        <f>HYPERLINK("https://knigipp.ru/api/getInfo/image/c76d5f3a-977f-11ef-a267-00155d82e908")</f>
        <v>https://knigipp.ru/api/getInfo/image/c76d5f3a-977f-11ef-a267-00155d82e908</v>
      </c>
      <c r="AA2203" s="33">
        <v>192</v>
      </c>
      <c r="AB2203" s="5" t="s">
        <v>761</v>
      </c>
      <c r="AC2203" s="5" t="s">
        <v>86</v>
      </c>
      <c r="AD2203" s="5"/>
      <c r="AE2203" s="5" t="s">
        <v>49</v>
      </c>
      <c r="AF2203" s="5"/>
      <c r="AG2203" s="5"/>
      <c r="AH2203" s="5" t="s">
        <v>9562</v>
      </c>
    </row>
    <row r="2204" spans="2:34" ht="21" customHeight="1" outlineLevel="4" x14ac:dyDescent="0.2">
      <c r="B2204" s="42">
        <v>1725</v>
      </c>
      <c r="C2204" s="5" t="s">
        <v>9628</v>
      </c>
      <c r="D2204" s="5" t="s">
        <v>9629</v>
      </c>
      <c r="E2204" s="6" t="s">
        <v>9630</v>
      </c>
      <c r="F2204" s="10"/>
      <c r="G2204" s="11" t="s">
        <v>9631</v>
      </c>
      <c r="H2204" s="12">
        <v>10</v>
      </c>
      <c r="I2204" s="13" t="s">
        <v>41</v>
      </c>
      <c r="J2204" s="13"/>
      <c r="K2204" s="13"/>
      <c r="L2204" s="4">
        <v>2</v>
      </c>
      <c r="M2204" s="14">
        <f>467*(1-P3/100)</f>
        <v>467</v>
      </c>
      <c r="N2204" s="15"/>
      <c r="O2204" s="13">
        <f t="shared" si="99"/>
        <v>0</v>
      </c>
      <c r="P2204" s="22">
        <f>0.358*N2204</f>
        <v>0</v>
      </c>
      <c r="Q2204" s="23">
        <f>0.00049*N2204</f>
        <v>0</v>
      </c>
      <c r="R2204" s="24"/>
      <c r="S2204" s="25" t="s">
        <v>9632</v>
      </c>
      <c r="T2204" s="25" t="s">
        <v>43</v>
      </c>
      <c r="U2204" s="5" t="s">
        <v>8575</v>
      </c>
      <c r="V2204" s="5" t="s">
        <v>9633</v>
      </c>
      <c r="W2204" s="5" t="s">
        <v>2612</v>
      </c>
      <c r="X2204" s="5"/>
      <c r="Y2204" s="5"/>
      <c r="Z2204" s="5" t="str">
        <f>HYPERLINK("https://knigipp.ru/api/getInfo/image/77b716ca-0e34-11f0-a279-00155d82e908")</f>
        <v>https://knigipp.ru/api/getInfo/image/77b716ca-0e34-11f0-a279-00155d82e908</v>
      </c>
      <c r="AA2204" s="33">
        <v>192</v>
      </c>
      <c r="AB2204" s="5" t="s">
        <v>761</v>
      </c>
      <c r="AC2204" s="5" t="s">
        <v>86</v>
      </c>
      <c r="AD2204" s="5"/>
      <c r="AE2204" s="5" t="s">
        <v>49</v>
      </c>
      <c r="AF2204" s="5"/>
      <c r="AG2204" s="5"/>
      <c r="AH2204" s="5" t="s">
        <v>9634</v>
      </c>
    </row>
    <row r="2205" spans="2:34" ht="21" customHeight="1" outlineLevel="4" x14ac:dyDescent="0.2">
      <c r="B2205" s="42">
        <v>1726</v>
      </c>
      <c r="C2205" s="5" t="s">
        <v>9635</v>
      </c>
      <c r="D2205" s="5" t="s">
        <v>9636</v>
      </c>
      <c r="E2205" s="6" t="s">
        <v>9637</v>
      </c>
      <c r="F2205" s="10"/>
      <c r="G2205" s="11" t="s">
        <v>9638</v>
      </c>
      <c r="H2205" s="12">
        <v>6</v>
      </c>
      <c r="I2205" s="13" t="s">
        <v>41</v>
      </c>
      <c r="J2205" s="13"/>
      <c r="K2205" s="13"/>
      <c r="L2205" s="4">
        <v>1</v>
      </c>
      <c r="M2205" s="14">
        <f>867*(1-P3/100)</f>
        <v>867</v>
      </c>
      <c r="N2205" s="15"/>
      <c r="O2205" s="13">
        <f t="shared" si="99"/>
        <v>0</v>
      </c>
      <c r="P2205" s="22">
        <f>0.804*N2205</f>
        <v>0</v>
      </c>
      <c r="Q2205" s="23">
        <f>0.00115*N2205</f>
        <v>0</v>
      </c>
      <c r="R2205" s="24"/>
      <c r="S2205" s="25" t="s">
        <v>9639</v>
      </c>
      <c r="T2205" s="25" t="s">
        <v>43</v>
      </c>
      <c r="U2205" s="5" t="s">
        <v>8575</v>
      </c>
      <c r="V2205" s="5" t="s">
        <v>9640</v>
      </c>
      <c r="W2205" s="5" t="s">
        <v>2612</v>
      </c>
      <c r="X2205" s="5"/>
      <c r="Y2205" s="5"/>
      <c r="Z2205" s="5" t="str">
        <f>HYPERLINK("https://knigipp.ru/api/getInfo/image/4da677f7-250e-11ec-a20f-ac1f6b442185")</f>
        <v>https://knigipp.ru/api/getInfo/image/4da677f7-250e-11ec-a20f-ac1f6b442185</v>
      </c>
      <c r="AA2205" s="33">
        <v>512</v>
      </c>
      <c r="AB2205" s="5" t="s">
        <v>761</v>
      </c>
      <c r="AC2205" s="5" t="s">
        <v>86</v>
      </c>
      <c r="AD2205" s="5"/>
      <c r="AE2205" s="5" t="s">
        <v>49</v>
      </c>
      <c r="AF2205" s="5"/>
      <c r="AG2205" s="5"/>
      <c r="AH2205" s="5" t="s">
        <v>9634</v>
      </c>
    </row>
    <row r="2206" spans="2:34" ht="21" customHeight="1" outlineLevel="4" x14ac:dyDescent="0.2">
      <c r="B2206" s="42">
        <v>1727</v>
      </c>
      <c r="C2206" s="5" t="s">
        <v>9641</v>
      </c>
      <c r="D2206" s="5" t="s">
        <v>9642</v>
      </c>
      <c r="E2206" s="6" t="s">
        <v>9643</v>
      </c>
      <c r="F2206" s="10"/>
      <c r="G2206" s="11" t="s">
        <v>9644</v>
      </c>
      <c r="H2206" s="12">
        <v>10</v>
      </c>
      <c r="I2206" s="13" t="s">
        <v>41</v>
      </c>
      <c r="J2206" s="13"/>
      <c r="K2206" s="13"/>
      <c r="L2206" s="4">
        <v>2</v>
      </c>
      <c r="M2206" s="14">
        <f>317*(1-P3/100)</f>
        <v>317</v>
      </c>
      <c r="N2206" s="15"/>
      <c r="O2206" s="13">
        <f t="shared" si="99"/>
        <v>0</v>
      </c>
      <c r="P2206" s="22">
        <f>0.339*N2206</f>
        <v>0</v>
      </c>
      <c r="Q2206" s="23">
        <f>0.00062*N2206</f>
        <v>0</v>
      </c>
      <c r="R2206" s="24"/>
      <c r="S2206" s="25" t="s">
        <v>9645</v>
      </c>
      <c r="T2206" s="25" t="s">
        <v>43</v>
      </c>
      <c r="U2206" s="5" t="s">
        <v>9646</v>
      </c>
      <c r="V2206" s="5" t="s">
        <v>9647</v>
      </c>
      <c r="W2206" s="5" t="s">
        <v>2612</v>
      </c>
      <c r="X2206" s="5"/>
      <c r="Y2206" s="5"/>
      <c r="Z2206" s="5" t="str">
        <f>HYPERLINK("https://knigipp.ru/api/getInfo/image/8272bbbe-2510-11ec-a20f-ac1f6b442185")</f>
        <v>https://knigipp.ru/api/getInfo/image/8272bbbe-2510-11ec-a20f-ac1f6b442185</v>
      </c>
      <c r="AA2206" s="33">
        <v>176</v>
      </c>
      <c r="AB2206" s="5" t="s">
        <v>761</v>
      </c>
      <c r="AC2206" s="5" t="s">
        <v>86</v>
      </c>
      <c r="AD2206" s="5"/>
      <c r="AE2206" s="5" t="s">
        <v>49</v>
      </c>
      <c r="AF2206" s="5"/>
      <c r="AG2206" s="5"/>
      <c r="AH2206" s="5" t="s">
        <v>9577</v>
      </c>
    </row>
    <row r="2207" spans="2:34" ht="21" customHeight="1" outlineLevel="4" x14ac:dyDescent="0.2">
      <c r="B2207" s="42">
        <v>1728</v>
      </c>
      <c r="C2207" s="5" t="s">
        <v>9648</v>
      </c>
      <c r="D2207" s="5" t="s">
        <v>9649</v>
      </c>
      <c r="E2207" s="6" t="s">
        <v>9650</v>
      </c>
      <c r="F2207" s="10"/>
      <c r="G2207" s="11" t="s">
        <v>9651</v>
      </c>
      <c r="H2207" s="12">
        <v>4</v>
      </c>
      <c r="I2207" s="13" t="s">
        <v>41</v>
      </c>
      <c r="J2207" s="13"/>
      <c r="K2207" s="13"/>
      <c r="L2207" s="4">
        <v>1</v>
      </c>
      <c r="M2207" s="35">
        <f>1177*(1-P3/100)</f>
        <v>1177</v>
      </c>
      <c r="N2207" s="15"/>
      <c r="O2207" s="13">
        <f t="shared" si="99"/>
        <v>0</v>
      </c>
      <c r="P2207" s="22">
        <f>1.087*N2207</f>
        <v>0</v>
      </c>
      <c r="Q2207" s="23">
        <f>0.00184*N2207</f>
        <v>0</v>
      </c>
      <c r="R2207" s="24"/>
      <c r="S2207" s="25" t="s">
        <v>9652</v>
      </c>
      <c r="T2207" s="25" t="s">
        <v>43</v>
      </c>
      <c r="U2207" s="5" t="s">
        <v>9653</v>
      </c>
      <c r="V2207" s="5" t="s">
        <v>9654</v>
      </c>
      <c r="W2207" s="5" t="s">
        <v>463</v>
      </c>
      <c r="X2207" s="5"/>
      <c r="Y2207" s="5"/>
      <c r="Z2207" s="5" t="str">
        <f>HYPERLINK("https://knigipp.ru/api/getInfo/image/7dcfe2bc-9781-11ef-a267-00155d82e908")</f>
        <v>https://knigipp.ru/api/getInfo/image/7dcfe2bc-9781-11ef-a267-00155d82e908</v>
      </c>
      <c r="AA2207" s="33">
        <v>736</v>
      </c>
      <c r="AB2207" s="5" t="s">
        <v>761</v>
      </c>
      <c r="AC2207" s="5" t="s">
        <v>86</v>
      </c>
      <c r="AD2207" s="5"/>
      <c r="AE2207" s="5" t="s">
        <v>49</v>
      </c>
      <c r="AF2207" s="5"/>
      <c r="AG2207" s="5"/>
      <c r="AH2207" s="5" t="s">
        <v>9655</v>
      </c>
    </row>
    <row r="2208" spans="2:34" ht="22.95" customHeight="1" outlineLevel="3" x14ac:dyDescent="0.2">
      <c r="B2208" s="74" t="s">
        <v>9656</v>
      </c>
      <c r="C2208" s="74"/>
      <c r="D2208" s="74"/>
    </row>
    <row r="2209" spans="2:34" ht="21" customHeight="1" outlineLevel="4" x14ac:dyDescent="0.2">
      <c r="B2209" s="42">
        <v>1729</v>
      </c>
      <c r="C2209" s="5" t="s">
        <v>9657</v>
      </c>
      <c r="D2209" s="5" t="s">
        <v>9658</v>
      </c>
      <c r="E2209" s="6" t="s">
        <v>9659</v>
      </c>
      <c r="F2209" s="10"/>
      <c r="G2209" s="11" t="s">
        <v>9660</v>
      </c>
      <c r="H2209" s="12">
        <v>20</v>
      </c>
      <c r="I2209" s="13" t="s">
        <v>41</v>
      </c>
      <c r="J2209" s="13"/>
      <c r="K2209" s="13"/>
      <c r="L2209" s="4">
        <v>2</v>
      </c>
      <c r="M2209" s="14">
        <f>547*(1-P3/100)</f>
        <v>547</v>
      </c>
      <c r="N2209" s="15"/>
      <c r="O2209" s="13">
        <f>M2209*N2209</f>
        <v>0</v>
      </c>
      <c r="P2209" s="22">
        <f>0.344*N2209</f>
        <v>0</v>
      </c>
      <c r="Q2209" s="23">
        <f>0.00053*N2209</f>
        <v>0</v>
      </c>
      <c r="R2209" s="24"/>
      <c r="S2209" s="25" t="s">
        <v>9661</v>
      </c>
      <c r="T2209" s="25" t="s">
        <v>43</v>
      </c>
      <c r="U2209" s="5"/>
      <c r="V2209" s="5" t="s">
        <v>9662</v>
      </c>
      <c r="W2209" s="5" t="s">
        <v>46</v>
      </c>
      <c r="X2209" s="5"/>
      <c r="Y2209" s="5"/>
      <c r="Z2209" s="5" t="str">
        <f>HYPERLINK("https://knigipp.ru/api/getInfo/image/c38acb5b-f3db-11ed-a237-00155d82e902")</f>
        <v>https://knigipp.ru/api/getInfo/image/c38acb5b-f3db-11ed-a237-00155d82e902</v>
      </c>
      <c r="AA2209" s="33">
        <v>240</v>
      </c>
      <c r="AB2209" s="5" t="s">
        <v>598</v>
      </c>
      <c r="AC2209" s="5" t="s">
        <v>86</v>
      </c>
      <c r="AD2209" s="5"/>
      <c r="AE2209" s="5" t="s">
        <v>49</v>
      </c>
      <c r="AF2209" s="5"/>
      <c r="AG2209" s="5"/>
      <c r="AH2209" s="5" t="s">
        <v>1939</v>
      </c>
    </row>
    <row r="2210" spans="2:34" ht="22.95" customHeight="1" outlineLevel="3" x14ac:dyDescent="0.2">
      <c r="B2210" s="74" t="s">
        <v>9663</v>
      </c>
      <c r="C2210" s="74"/>
      <c r="D2210" s="74"/>
    </row>
    <row r="2211" spans="2:34" ht="21" customHeight="1" outlineLevel="4" x14ac:dyDescent="0.2">
      <c r="B2211" s="42">
        <v>1730</v>
      </c>
      <c r="C2211" s="5" t="s">
        <v>9664</v>
      </c>
      <c r="D2211" s="5" t="s">
        <v>9665</v>
      </c>
      <c r="E2211" s="6" t="s">
        <v>9666</v>
      </c>
      <c r="F2211" s="10"/>
      <c r="G2211" s="11" t="s">
        <v>9667</v>
      </c>
      <c r="H2211" s="12">
        <v>20</v>
      </c>
      <c r="I2211" s="13" t="s">
        <v>41</v>
      </c>
      <c r="J2211" s="13"/>
      <c r="K2211" s="13"/>
      <c r="L2211" s="4">
        <v>2</v>
      </c>
      <c r="M2211" s="14">
        <f>369*(1-P3/100)</f>
        <v>369</v>
      </c>
      <c r="N2211" s="15"/>
      <c r="O2211" s="13">
        <f>M2211*N2211</f>
        <v>0</v>
      </c>
      <c r="P2211" s="22">
        <f>0.422*N2211</f>
        <v>0</v>
      </c>
      <c r="Q2211" s="23">
        <f>0.00064*N2211</f>
        <v>0</v>
      </c>
      <c r="R2211" s="24"/>
      <c r="S2211" s="25" t="s">
        <v>9668</v>
      </c>
      <c r="T2211" s="25" t="s">
        <v>43</v>
      </c>
      <c r="U2211" s="5" t="s">
        <v>9669</v>
      </c>
      <c r="V2211" s="5" t="s">
        <v>9670</v>
      </c>
      <c r="W2211" s="5" t="s">
        <v>46</v>
      </c>
      <c r="X2211" s="5"/>
      <c r="Y2211" s="5"/>
      <c r="Z2211" s="5" t="str">
        <f>HYPERLINK("https://knigipp.ru/api/getInfo/image/a6e34ed8-b581-11ec-a211-ac1f6b442185")</f>
        <v>https://knigipp.ru/api/getInfo/image/a6e34ed8-b581-11ec-a211-ac1f6b442185</v>
      </c>
      <c r="AA2211" s="33">
        <v>272</v>
      </c>
      <c r="AB2211" s="5"/>
      <c r="AC2211" s="5" t="s">
        <v>86</v>
      </c>
      <c r="AD2211" s="5"/>
      <c r="AE2211" s="5" t="s">
        <v>49</v>
      </c>
      <c r="AF2211" s="5"/>
      <c r="AG2211" s="5"/>
      <c r="AH2211" s="5" t="s">
        <v>9671</v>
      </c>
    </row>
    <row r="2212" spans="2:34" ht="21" customHeight="1" outlineLevel="4" x14ac:dyDescent="0.2">
      <c r="B2212" s="42">
        <v>1731</v>
      </c>
      <c r="C2212" s="5" t="s">
        <v>9672</v>
      </c>
      <c r="D2212" s="5" t="s">
        <v>9673</v>
      </c>
      <c r="E2212" s="6" t="s">
        <v>9674</v>
      </c>
      <c r="F2212" s="10"/>
      <c r="G2212" s="11" t="s">
        <v>9667</v>
      </c>
      <c r="H2212" s="12">
        <v>20</v>
      </c>
      <c r="I2212" s="13" t="s">
        <v>41</v>
      </c>
      <c r="J2212" s="13"/>
      <c r="K2212" s="13"/>
      <c r="L2212" s="4">
        <v>2</v>
      </c>
      <c r="M2212" s="14">
        <f>369*(1-P3/100)</f>
        <v>369</v>
      </c>
      <c r="N2212" s="15"/>
      <c r="O2212" s="13">
        <f>M2212*N2212</f>
        <v>0</v>
      </c>
      <c r="P2212" s="22">
        <f>0.422*N2212</f>
        <v>0</v>
      </c>
      <c r="Q2212" s="23">
        <f>0.00064*N2212</f>
        <v>0</v>
      </c>
      <c r="R2212" s="24"/>
      <c r="S2212" s="25" t="s">
        <v>9675</v>
      </c>
      <c r="T2212" s="25" t="s">
        <v>43</v>
      </c>
      <c r="U2212" s="5" t="s">
        <v>9676</v>
      </c>
      <c r="V2212" s="5" t="s">
        <v>9677</v>
      </c>
      <c r="W2212" s="5" t="s">
        <v>46</v>
      </c>
      <c r="X2212" s="5"/>
      <c r="Y2212" s="5"/>
      <c r="Z2212" s="5" t="str">
        <f>HYPERLINK("https://knigipp.ru/api/getInfo/image/f4d8ceb1-b581-11ec-a211-ac1f6b442185")</f>
        <v>https://knigipp.ru/api/getInfo/image/f4d8ceb1-b581-11ec-a211-ac1f6b442185</v>
      </c>
      <c r="AA2212" s="33">
        <v>272</v>
      </c>
      <c r="AB2212" s="5"/>
      <c r="AC2212" s="5" t="s">
        <v>86</v>
      </c>
      <c r="AD2212" s="5"/>
      <c r="AE2212" s="5" t="s">
        <v>49</v>
      </c>
      <c r="AF2212" s="5"/>
      <c r="AG2212" s="5"/>
      <c r="AH2212" s="5" t="s">
        <v>9671</v>
      </c>
    </row>
    <row r="2213" spans="2:34" ht="21" customHeight="1" outlineLevel="4" x14ac:dyDescent="0.2">
      <c r="B2213" s="42">
        <v>1732</v>
      </c>
      <c r="C2213" s="5" t="s">
        <v>9678</v>
      </c>
      <c r="D2213" s="5" t="s">
        <v>9679</v>
      </c>
      <c r="E2213" s="6" t="s">
        <v>9680</v>
      </c>
      <c r="F2213" s="10"/>
      <c r="G2213" s="11" t="s">
        <v>9667</v>
      </c>
      <c r="H2213" s="12">
        <v>20</v>
      </c>
      <c r="I2213" s="13" t="s">
        <v>41</v>
      </c>
      <c r="J2213" s="13"/>
      <c r="K2213" s="13"/>
      <c r="L2213" s="4">
        <v>2</v>
      </c>
      <c r="M2213" s="14">
        <f>369*(1-P3/100)</f>
        <v>369</v>
      </c>
      <c r="N2213" s="15"/>
      <c r="O2213" s="13">
        <f>M2213*N2213</f>
        <v>0</v>
      </c>
      <c r="P2213" s="22">
        <f>0.422*N2213</f>
        <v>0</v>
      </c>
      <c r="Q2213" s="23">
        <f>0.00064*N2213</f>
        <v>0</v>
      </c>
      <c r="R2213" s="24"/>
      <c r="S2213" s="25" t="s">
        <v>9681</v>
      </c>
      <c r="T2213" s="25" t="s">
        <v>43</v>
      </c>
      <c r="U2213" s="5" t="s">
        <v>9682</v>
      </c>
      <c r="V2213" s="5" t="s">
        <v>9683</v>
      </c>
      <c r="W2213" s="5" t="s">
        <v>46</v>
      </c>
      <c r="X2213" s="5"/>
      <c r="Y2213" s="5"/>
      <c r="Z2213" s="5" t="str">
        <f>HYPERLINK("https://knigipp.ru/api/getInfo/image/222db958-b582-11ec-a211-ac1f6b442185")</f>
        <v>https://knigipp.ru/api/getInfo/image/222db958-b582-11ec-a211-ac1f6b442185</v>
      </c>
      <c r="AA2213" s="33">
        <v>288</v>
      </c>
      <c r="AB2213" s="5"/>
      <c r="AC2213" s="5" t="s">
        <v>86</v>
      </c>
      <c r="AD2213" s="5"/>
      <c r="AE2213" s="5" t="s">
        <v>49</v>
      </c>
      <c r="AF2213" s="5"/>
      <c r="AG2213" s="5"/>
      <c r="AH2213" s="5" t="s">
        <v>9671</v>
      </c>
    </row>
    <row r="2214" spans="2:34" ht="21" customHeight="1" outlineLevel="4" x14ac:dyDescent="0.2">
      <c r="B2214" s="42">
        <v>1733</v>
      </c>
      <c r="C2214" s="5" t="s">
        <v>9684</v>
      </c>
      <c r="D2214" s="5" t="s">
        <v>9685</v>
      </c>
      <c r="E2214" s="6" t="s">
        <v>9686</v>
      </c>
      <c r="F2214" s="10"/>
      <c r="G2214" s="11" t="s">
        <v>9687</v>
      </c>
      <c r="H2214" s="12">
        <v>20</v>
      </c>
      <c r="I2214" s="13" t="s">
        <v>41</v>
      </c>
      <c r="J2214" s="13"/>
      <c r="K2214" s="13"/>
      <c r="L2214" s="4">
        <v>2</v>
      </c>
      <c r="M2214" s="14">
        <f>389*(1-P3/100)</f>
        <v>389</v>
      </c>
      <c r="N2214" s="15"/>
      <c r="O2214" s="13">
        <f>M2214*N2214</f>
        <v>0</v>
      </c>
      <c r="P2214" s="22">
        <f>0.422*N2214</f>
        <v>0</v>
      </c>
      <c r="Q2214" s="23">
        <f>0.00064*N2214</f>
        <v>0</v>
      </c>
      <c r="R2214" s="24"/>
      <c r="S2214" s="25" t="s">
        <v>9688</v>
      </c>
      <c r="T2214" s="25" t="s">
        <v>43</v>
      </c>
      <c r="U2214" s="5" t="s">
        <v>9689</v>
      </c>
      <c r="V2214" s="5" t="s">
        <v>9690</v>
      </c>
      <c r="W2214" s="5" t="s">
        <v>46</v>
      </c>
      <c r="X2214" s="5"/>
      <c r="Y2214" s="5"/>
      <c r="Z2214" s="5" t="str">
        <f>HYPERLINK("https://knigipp.ru/api/getInfo/image/53a2ef04-b582-11ec-a211-ac1f6b442185")</f>
        <v>https://knigipp.ru/api/getInfo/image/53a2ef04-b582-11ec-a211-ac1f6b442185</v>
      </c>
      <c r="AA2214" s="33">
        <v>320</v>
      </c>
      <c r="AB2214" s="5"/>
      <c r="AC2214" s="5" t="s">
        <v>86</v>
      </c>
      <c r="AD2214" s="5"/>
      <c r="AE2214" s="5" t="s">
        <v>49</v>
      </c>
      <c r="AF2214" s="5"/>
      <c r="AG2214" s="5"/>
      <c r="AH2214" s="5" t="s">
        <v>9671</v>
      </c>
    </row>
    <row r="2215" spans="2:34" ht="22.95" customHeight="1" outlineLevel="3" x14ac:dyDescent="0.2">
      <c r="B2215" s="74" t="s">
        <v>9691</v>
      </c>
      <c r="C2215" s="74"/>
      <c r="D2215" s="74"/>
    </row>
    <row r="2216" spans="2:34" ht="21" customHeight="1" outlineLevel="4" x14ac:dyDescent="0.2">
      <c r="B2216" s="42">
        <v>1734</v>
      </c>
      <c r="C2216" s="5" t="s">
        <v>9692</v>
      </c>
      <c r="D2216" s="5" t="s">
        <v>9693</v>
      </c>
      <c r="E2216" s="6" t="s">
        <v>9694</v>
      </c>
      <c r="F2216" s="10"/>
      <c r="G2216" s="11" t="s">
        <v>9695</v>
      </c>
      <c r="H2216" s="12">
        <v>10</v>
      </c>
      <c r="I2216" s="13" t="s">
        <v>41</v>
      </c>
      <c r="J2216" s="13"/>
      <c r="K2216" s="13"/>
      <c r="L2216" s="4">
        <v>2</v>
      </c>
      <c r="M2216" s="14">
        <f>397*(1-P3/100)</f>
        <v>397</v>
      </c>
      <c r="N2216" s="15"/>
      <c r="O2216" s="13">
        <f>M2216*N2216</f>
        <v>0</v>
      </c>
      <c r="P2216" s="22">
        <f>0.394*N2216</f>
        <v>0</v>
      </c>
      <c r="Q2216" s="23">
        <f>0.00085*N2216</f>
        <v>0</v>
      </c>
      <c r="R2216" s="24"/>
      <c r="S2216" s="25" t="s">
        <v>9696</v>
      </c>
      <c r="T2216" s="25" t="s">
        <v>43</v>
      </c>
      <c r="U2216" s="5" t="s">
        <v>9697</v>
      </c>
      <c r="V2216" s="5" t="s">
        <v>9698</v>
      </c>
      <c r="W2216" s="5" t="s">
        <v>46</v>
      </c>
      <c r="X2216" s="5"/>
      <c r="Y2216" s="5"/>
      <c r="Z2216" s="5" t="str">
        <f>HYPERLINK("https://knigipp.ru/api/getInfo/image/e946ddf8-dfd2-11ef-a273-00155d82e908")</f>
        <v>https://knigipp.ru/api/getInfo/image/e946ddf8-dfd2-11ef-a273-00155d82e908</v>
      </c>
      <c r="AA2216" s="33">
        <v>320</v>
      </c>
      <c r="AB2216" s="5" t="s">
        <v>47</v>
      </c>
      <c r="AC2216" s="5" t="s">
        <v>86</v>
      </c>
      <c r="AD2216" s="5"/>
      <c r="AE2216" s="5" t="s">
        <v>49</v>
      </c>
      <c r="AF2216" s="5"/>
      <c r="AG2216" s="5"/>
      <c r="AH2216" s="5" t="s">
        <v>9699</v>
      </c>
    </row>
    <row r="2217" spans="2:34" ht="21" customHeight="1" outlineLevel="4" x14ac:dyDescent="0.2">
      <c r="B2217" s="42">
        <v>1735</v>
      </c>
      <c r="C2217" s="5" t="s">
        <v>9700</v>
      </c>
      <c r="D2217" s="5" t="s">
        <v>9701</v>
      </c>
      <c r="E2217" s="6" t="s">
        <v>9702</v>
      </c>
      <c r="F2217" s="10"/>
      <c r="G2217" s="11" t="s">
        <v>9703</v>
      </c>
      <c r="H2217" s="12">
        <v>10</v>
      </c>
      <c r="I2217" s="13" t="s">
        <v>41</v>
      </c>
      <c r="J2217" s="13"/>
      <c r="K2217" s="13"/>
      <c r="L2217" s="4">
        <v>2</v>
      </c>
      <c r="M2217" s="14">
        <f>427*(1-P3/100)</f>
        <v>427</v>
      </c>
      <c r="N2217" s="15"/>
      <c r="O2217" s="13">
        <f>M2217*N2217</f>
        <v>0</v>
      </c>
      <c r="P2217" s="22">
        <f>0.402*N2217</f>
        <v>0</v>
      </c>
      <c r="Q2217" s="23">
        <f>0.00067*N2217</f>
        <v>0</v>
      </c>
      <c r="R2217" s="24"/>
      <c r="S2217" s="25" t="s">
        <v>9704</v>
      </c>
      <c r="T2217" s="25" t="s">
        <v>43</v>
      </c>
      <c r="U2217" s="5" t="s">
        <v>9705</v>
      </c>
      <c r="V2217" s="5" t="s">
        <v>9706</v>
      </c>
      <c r="W2217" s="5" t="s">
        <v>46</v>
      </c>
      <c r="X2217" s="5"/>
      <c r="Y2217" s="5"/>
      <c r="Z2217" s="5" t="str">
        <f>HYPERLINK("https://knigipp.ru/api/getInfo/image/2076dcca-dfd3-11ef-a273-00155d82e908")</f>
        <v>https://knigipp.ru/api/getInfo/image/2076dcca-dfd3-11ef-a273-00155d82e908</v>
      </c>
      <c r="AA2217" s="33">
        <v>336</v>
      </c>
      <c r="AB2217" s="5" t="s">
        <v>47</v>
      </c>
      <c r="AC2217" s="5" t="s">
        <v>86</v>
      </c>
      <c r="AD2217" s="5"/>
      <c r="AE2217" s="5" t="s">
        <v>49</v>
      </c>
      <c r="AF2217" s="5"/>
      <c r="AG2217" s="5"/>
      <c r="AH2217" s="5" t="s">
        <v>9699</v>
      </c>
    </row>
    <row r="2218" spans="2:34" ht="21" customHeight="1" outlineLevel="4" x14ac:dyDescent="0.2">
      <c r="B2218" s="42">
        <v>1736</v>
      </c>
      <c r="C2218" s="5" t="s">
        <v>9707</v>
      </c>
      <c r="D2218" s="5" t="s">
        <v>9708</v>
      </c>
      <c r="E2218" s="6" t="s">
        <v>9709</v>
      </c>
      <c r="F2218" s="10"/>
      <c r="G2218" s="11" t="s">
        <v>9710</v>
      </c>
      <c r="H2218" s="12">
        <v>10</v>
      </c>
      <c r="I2218" s="13" t="s">
        <v>41</v>
      </c>
      <c r="J2218" s="13"/>
      <c r="K2218" s="13"/>
      <c r="L2218" s="4">
        <v>2</v>
      </c>
      <c r="M2218" s="14">
        <f>397*(1-P3/100)</f>
        <v>397</v>
      </c>
      <c r="N2218" s="15"/>
      <c r="O2218" s="13">
        <f>M2218*N2218</f>
        <v>0</v>
      </c>
      <c r="P2218" s="22">
        <f>0.393*N2218</f>
        <v>0</v>
      </c>
      <c r="Q2218" s="23">
        <f>0.00066*N2218</f>
        <v>0</v>
      </c>
      <c r="R2218" s="24"/>
      <c r="S2218" s="25" t="s">
        <v>9711</v>
      </c>
      <c r="T2218" s="25" t="s">
        <v>43</v>
      </c>
      <c r="U2218" s="5" t="s">
        <v>9712</v>
      </c>
      <c r="V2218" s="5" t="s">
        <v>9713</v>
      </c>
      <c r="W2218" s="5" t="s">
        <v>46</v>
      </c>
      <c r="X2218" s="5"/>
      <c r="Y2218" s="5"/>
      <c r="Z2218" s="5" t="str">
        <f>HYPERLINK("https://knigipp.ru/api/getInfo/image/522a09c7-dfd3-11ef-a273-00155d82e908")</f>
        <v>https://knigipp.ru/api/getInfo/image/522a09c7-dfd3-11ef-a273-00155d82e908</v>
      </c>
      <c r="AA2218" s="33">
        <v>320</v>
      </c>
      <c r="AB2218" s="5" t="s">
        <v>47</v>
      </c>
      <c r="AC2218" s="5" t="s">
        <v>86</v>
      </c>
      <c r="AD2218" s="5"/>
      <c r="AE2218" s="5" t="s">
        <v>49</v>
      </c>
      <c r="AF2218" s="5"/>
      <c r="AG2218" s="5"/>
      <c r="AH2218" s="5" t="s">
        <v>9699</v>
      </c>
    </row>
    <row r="2219" spans="2:34" ht="21" customHeight="1" outlineLevel="4" x14ac:dyDescent="0.2">
      <c r="B2219" s="42">
        <v>1737</v>
      </c>
      <c r="C2219" s="5" t="s">
        <v>9714</v>
      </c>
      <c r="D2219" s="5" t="s">
        <v>9715</v>
      </c>
      <c r="E2219" s="6" t="s">
        <v>9716</v>
      </c>
      <c r="F2219" s="10"/>
      <c r="G2219" s="11" t="s">
        <v>9717</v>
      </c>
      <c r="H2219" s="12">
        <v>10</v>
      </c>
      <c r="I2219" s="13" t="s">
        <v>41</v>
      </c>
      <c r="J2219" s="13"/>
      <c r="K2219" s="13"/>
      <c r="L2219" s="4">
        <v>2</v>
      </c>
      <c r="M2219" s="14">
        <f>347*(1-P3/100)</f>
        <v>347</v>
      </c>
      <c r="N2219" s="15"/>
      <c r="O2219" s="13">
        <f>M2219*N2219</f>
        <v>0</v>
      </c>
      <c r="P2219" s="22">
        <f>0.301*N2219</f>
        <v>0</v>
      </c>
      <c r="Q2219" s="23">
        <f>0.00059*N2219</f>
        <v>0</v>
      </c>
      <c r="R2219" s="24"/>
      <c r="S2219" s="25" t="s">
        <v>9718</v>
      </c>
      <c r="T2219" s="25" t="s">
        <v>43</v>
      </c>
      <c r="U2219" s="5" t="s">
        <v>9719</v>
      </c>
      <c r="V2219" s="5" t="s">
        <v>9720</v>
      </c>
      <c r="W2219" s="5" t="s">
        <v>46</v>
      </c>
      <c r="X2219" s="5"/>
      <c r="Y2219" s="5"/>
      <c r="Z2219" s="5" t="str">
        <f>HYPERLINK("https://knigipp.ru/api/getInfo/image/9a79c236-dfd2-11ef-a273-00155d82e908")</f>
        <v>https://knigipp.ru/api/getInfo/image/9a79c236-dfd2-11ef-a273-00155d82e908</v>
      </c>
      <c r="AA2219" s="33">
        <v>224</v>
      </c>
      <c r="AB2219" s="5" t="s">
        <v>47</v>
      </c>
      <c r="AC2219" s="5" t="s">
        <v>86</v>
      </c>
      <c r="AD2219" s="5"/>
      <c r="AE2219" s="5" t="s">
        <v>49</v>
      </c>
      <c r="AF2219" s="5"/>
      <c r="AG2219" s="5"/>
      <c r="AH2219" s="5" t="s">
        <v>315</v>
      </c>
    </row>
    <row r="2220" spans="2:34" ht="22.95" customHeight="1" outlineLevel="3" x14ac:dyDescent="0.2">
      <c r="B2220" s="74" t="s">
        <v>9721</v>
      </c>
      <c r="C2220" s="74"/>
      <c r="D2220" s="74"/>
    </row>
    <row r="2221" spans="2:34" ht="21" customHeight="1" outlineLevel="4" x14ac:dyDescent="0.2">
      <c r="B2221" s="42">
        <v>1738</v>
      </c>
      <c r="C2221" s="5" t="s">
        <v>9722</v>
      </c>
      <c r="D2221" s="5" t="s">
        <v>9723</v>
      </c>
      <c r="E2221" s="6" t="s">
        <v>9724</v>
      </c>
      <c r="F2221" s="10"/>
      <c r="G2221" s="11" t="s">
        <v>9725</v>
      </c>
      <c r="H2221" s="12">
        <v>20</v>
      </c>
      <c r="I2221" s="13" t="s">
        <v>41</v>
      </c>
      <c r="J2221" s="13"/>
      <c r="K2221" s="13"/>
      <c r="L2221" s="4">
        <v>4</v>
      </c>
      <c r="M2221" s="14">
        <f>179*(1-P3/100)</f>
        <v>179</v>
      </c>
      <c r="N2221" s="15"/>
      <c r="O2221" s="13">
        <f t="shared" ref="O2221:O2270" si="100">M2221*N2221</f>
        <v>0</v>
      </c>
      <c r="P2221" s="22">
        <f>0.218*N2221</f>
        <v>0</v>
      </c>
      <c r="Q2221" s="23">
        <f>0.00037*N2221</f>
        <v>0</v>
      </c>
      <c r="R2221" s="24"/>
      <c r="S2221" s="25" t="s">
        <v>9726</v>
      </c>
      <c r="T2221" s="25" t="s">
        <v>43</v>
      </c>
      <c r="U2221" s="5" t="s">
        <v>9727</v>
      </c>
      <c r="V2221" s="5" t="s">
        <v>9728</v>
      </c>
      <c r="W2221" s="5" t="s">
        <v>2731</v>
      </c>
      <c r="X2221" s="5" t="s">
        <v>5721</v>
      </c>
      <c r="Y2221" s="5"/>
      <c r="Z2221" s="5" t="str">
        <f>HYPERLINK("https://knigipp.ru/api/getInfo/image/51d557f2-4ec5-11e8-b825-5cf3fc4a2490")</f>
        <v>https://knigipp.ru/api/getInfo/image/51d557f2-4ec5-11e8-b825-5cf3fc4a2490</v>
      </c>
      <c r="AA2221" s="33">
        <v>96</v>
      </c>
      <c r="AB2221" s="5"/>
      <c r="AC2221" s="5" t="s">
        <v>86</v>
      </c>
      <c r="AD2221" s="5"/>
      <c r="AE2221" s="5" t="s">
        <v>49</v>
      </c>
      <c r="AF2221" s="5"/>
      <c r="AG2221" s="5" t="s">
        <v>9729</v>
      </c>
      <c r="AH2221" s="5" t="s">
        <v>9730</v>
      </c>
    </row>
    <row r="2222" spans="2:34" ht="21" customHeight="1" outlineLevel="4" x14ac:dyDescent="0.2">
      <c r="B2222" s="42">
        <v>1739</v>
      </c>
      <c r="C2222" s="5" t="s">
        <v>9731</v>
      </c>
      <c r="D2222" s="5" t="s">
        <v>9732</v>
      </c>
      <c r="E2222" s="6" t="s">
        <v>9733</v>
      </c>
      <c r="F2222" s="10"/>
      <c r="G2222" s="11" t="s">
        <v>9734</v>
      </c>
      <c r="H2222" s="12">
        <v>20</v>
      </c>
      <c r="I2222" s="13" t="s">
        <v>41</v>
      </c>
      <c r="J2222" s="13"/>
      <c r="K2222" s="13"/>
      <c r="L2222" s="4">
        <v>4</v>
      </c>
      <c r="M2222" s="14">
        <f>179*(1-P3/100)</f>
        <v>179</v>
      </c>
      <c r="N2222" s="15"/>
      <c r="O2222" s="13">
        <f t="shared" si="100"/>
        <v>0</v>
      </c>
      <c r="P2222" s="22">
        <f>0.207*N2222</f>
        <v>0</v>
      </c>
      <c r="Q2222" s="23">
        <f>0.00044*N2222</f>
        <v>0</v>
      </c>
      <c r="R2222" s="24"/>
      <c r="S2222" s="25" t="s">
        <v>9735</v>
      </c>
      <c r="T2222" s="25" t="s">
        <v>43</v>
      </c>
      <c r="U2222" s="5" t="s">
        <v>9568</v>
      </c>
      <c r="V2222" s="5" t="s">
        <v>9736</v>
      </c>
      <c r="W2222" s="5" t="s">
        <v>2731</v>
      </c>
      <c r="X2222" s="5" t="s">
        <v>9737</v>
      </c>
      <c r="Y2222" s="5"/>
      <c r="Z2222" s="5" t="str">
        <f>HYPERLINK("https://knigipp.ru/api/getInfo/image/088fa4a3-a1e2-11e7-b8ef-5cf3fc4a2490")</f>
        <v>https://knigipp.ru/api/getInfo/image/088fa4a3-a1e2-11e7-b8ef-5cf3fc4a2490</v>
      </c>
      <c r="AA2222" s="33">
        <v>112</v>
      </c>
      <c r="AB2222" s="5"/>
      <c r="AC2222" s="5" t="s">
        <v>86</v>
      </c>
      <c r="AD2222" s="5"/>
      <c r="AE2222" s="5" t="s">
        <v>49</v>
      </c>
      <c r="AF2222" s="5"/>
      <c r="AG2222" s="5" t="s">
        <v>9729</v>
      </c>
      <c r="AH2222" s="5" t="s">
        <v>9730</v>
      </c>
    </row>
    <row r="2223" spans="2:34" ht="21" customHeight="1" outlineLevel="4" x14ac:dyDescent="0.2">
      <c r="B2223" s="42">
        <v>1740</v>
      </c>
      <c r="C2223" s="5" t="s">
        <v>9738</v>
      </c>
      <c r="D2223" s="5" t="s">
        <v>9739</v>
      </c>
      <c r="E2223" s="6" t="s">
        <v>9740</v>
      </c>
      <c r="F2223" s="10"/>
      <c r="G2223" s="11" t="s">
        <v>9741</v>
      </c>
      <c r="H2223" s="12">
        <v>20</v>
      </c>
      <c r="I2223" s="13" t="s">
        <v>41</v>
      </c>
      <c r="J2223" s="13"/>
      <c r="K2223" s="13"/>
      <c r="L2223" s="4">
        <v>3</v>
      </c>
      <c r="M2223" s="14">
        <f>219*(1-P3/100)</f>
        <v>219</v>
      </c>
      <c r="N2223" s="15"/>
      <c r="O2223" s="13">
        <f t="shared" si="100"/>
        <v>0</v>
      </c>
      <c r="P2223" s="22">
        <f>0.226*N2223</f>
        <v>0</v>
      </c>
      <c r="Q2223" s="23">
        <f>0.00044*N2223</f>
        <v>0</v>
      </c>
      <c r="R2223" s="24"/>
      <c r="S2223" s="25" t="s">
        <v>9742</v>
      </c>
      <c r="T2223" s="25" t="s">
        <v>43</v>
      </c>
      <c r="U2223" s="5" t="s">
        <v>9254</v>
      </c>
      <c r="V2223" s="5" t="s">
        <v>9743</v>
      </c>
      <c r="W2223" s="5" t="s">
        <v>46</v>
      </c>
      <c r="X2223" s="5" t="s">
        <v>9084</v>
      </c>
      <c r="Y2223" s="5"/>
      <c r="Z2223" s="5" t="str">
        <f>HYPERLINK("https://knigipp.ru/api/getInfo/image/65add51a-79a5-11e6-97ea-5cf3fc4a2490")</f>
        <v>https://knigipp.ru/api/getInfo/image/65add51a-79a5-11e6-97ea-5cf3fc4a2490</v>
      </c>
      <c r="AA2223" s="33">
        <v>128</v>
      </c>
      <c r="AB2223" s="5"/>
      <c r="AC2223" s="5" t="s">
        <v>86</v>
      </c>
      <c r="AD2223" s="5"/>
      <c r="AE2223" s="5" t="s">
        <v>49</v>
      </c>
      <c r="AF2223" s="5"/>
      <c r="AG2223" s="5" t="s">
        <v>9729</v>
      </c>
      <c r="AH2223" s="5" t="s">
        <v>9730</v>
      </c>
    </row>
    <row r="2224" spans="2:34" ht="21" customHeight="1" outlineLevel="4" x14ac:dyDescent="0.2">
      <c r="B2224" s="42">
        <v>1741</v>
      </c>
      <c r="C2224" s="5" t="s">
        <v>9744</v>
      </c>
      <c r="D2224" s="5" t="s">
        <v>9745</v>
      </c>
      <c r="E2224" s="6" t="s">
        <v>9746</v>
      </c>
      <c r="F2224" s="10"/>
      <c r="G2224" s="11" t="s">
        <v>9747</v>
      </c>
      <c r="H2224" s="12">
        <v>20</v>
      </c>
      <c r="I2224" s="13" t="s">
        <v>371</v>
      </c>
      <c r="J2224" s="13"/>
      <c r="K2224" s="13"/>
      <c r="L2224" s="4">
        <v>3</v>
      </c>
      <c r="M2224" s="14">
        <f>287*(1-P3/100)</f>
        <v>287</v>
      </c>
      <c r="N2224" s="15"/>
      <c r="O2224" s="13">
        <f t="shared" si="100"/>
        <v>0</v>
      </c>
      <c r="P2224" s="22">
        <f>0.218*N2224</f>
        <v>0</v>
      </c>
      <c r="Q2224" s="23">
        <f>0.00037*N2224</f>
        <v>0</v>
      </c>
      <c r="R2224" s="24"/>
      <c r="S2224" s="25" t="s">
        <v>9748</v>
      </c>
      <c r="T2224" s="25" t="s">
        <v>43</v>
      </c>
      <c r="U2224" s="5" t="s">
        <v>9611</v>
      </c>
      <c r="V2224" s="5"/>
      <c r="W2224" s="5" t="s">
        <v>2731</v>
      </c>
      <c r="X2224" s="5" t="s">
        <v>2560</v>
      </c>
      <c r="Y2224" s="5"/>
      <c r="Z2224" s="5" t="str">
        <f>HYPERLINK("https://knigipp.ru/api/getInfo/image/8f90db4e-79a1-11e6-97ea-5cf3fc4a2490")</f>
        <v>https://knigipp.ru/api/getInfo/image/8f90db4e-79a1-11e6-97ea-5cf3fc4a2490</v>
      </c>
      <c r="AA2224" s="33">
        <v>128</v>
      </c>
      <c r="AB2224" s="5"/>
      <c r="AC2224" s="5" t="s">
        <v>86</v>
      </c>
      <c r="AD2224" s="5"/>
      <c r="AE2224" s="5" t="s">
        <v>49</v>
      </c>
      <c r="AF2224" s="5"/>
      <c r="AG2224" s="5" t="s">
        <v>9729</v>
      </c>
      <c r="AH2224" s="5" t="s">
        <v>9730</v>
      </c>
    </row>
    <row r="2225" spans="2:34" ht="21" customHeight="1" outlineLevel="4" x14ac:dyDescent="0.2">
      <c r="B2225" s="42">
        <v>1742</v>
      </c>
      <c r="C2225" s="5" t="s">
        <v>9749</v>
      </c>
      <c r="D2225" s="5" t="s">
        <v>9750</v>
      </c>
      <c r="E2225" s="6" t="s">
        <v>9751</v>
      </c>
      <c r="F2225" s="10"/>
      <c r="G2225" s="11" t="s">
        <v>9752</v>
      </c>
      <c r="H2225" s="12">
        <v>20</v>
      </c>
      <c r="I2225" s="13" t="s">
        <v>261</v>
      </c>
      <c r="J2225" s="13"/>
      <c r="K2225" s="13"/>
      <c r="L2225" s="4">
        <v>4</v>
      </c>
      <c r="M2225" s="14">
        <f>179*(1-P3/100)</f>
        <v>179</v>
      </c>
      <c r="N2225" s="15"/>
      <c r="O2225" s="13">
        <f t="shared" si="100"/>
        <v>0</v>
      </c>
      <c r="P2225" s="22">
        <f>0.189*N2225</f>
        <v>0</v>
      </c>
      <c r="Q2225" s="30">
        <f>0.0004*N2225</f>
        <v>0</v>
      </c>
      <c r="R2225" s="24"/>
      <c r="S2225" s="25" t="s">
        <v>9753</v>
      </c>
      <c r="T2225" s="25" t="s">
        <v>43</v>
      </c>
      <c r="U2225" s="5" t="s">
        <v>9653</v>
      </c>
      <c r="V2225" s="5"/>
      <c r="W2225" s="5"/>
      <c r="X2225" s="5" t="s">
        <v>5721</v>
      </c>
      <c r="Y2225" s="5"/>
      <c r="Z2225" s="5" t="str">
        <f>HYPERLINK("https://knigipp.ru/api/getInfo/image/35472d53-4ec5-11e8-b825-5cf3fc4a2490")</f>
        <v>https://knigipp.ru/api/getInfo/image/35472d53-4ec5-11e8-b825-5cf3fc4a2490</v>
      </c>
      <c r="AA2225" s="33">
        <v>96</v>
      </c>
      <c r="AB2225" s="5"/>
      <c r="AC2225" s="5" t="s">
        <v>86</v>
      </c>
      <c r="AD2225" s="5"/>
      <c r="AE2225" s="5" t="s">
        <v>49</v>
      </c>
      <c r="AF2225" s="5"/>
      <c r="AG2225" s="5" t="s">
        <v>9729</v>
      </c>
      <c r="AH2225" s="5" t="s">
        <v>9730</v>
      </c>
    </row>
    <row r="2226" spans="2:34" ht="21" customHeight="1" outlineLevel="4" x14ac:dyDescent="0.2">
      <c r="B2226" s="42">
        <v>1743</v>
      </c>
      <c r="C2226" s="5" t="s">
        <v>9754</v>
      </c>
      <c r="D2226" s="5" t="s">
        <v>9755</v>
      </c>
      <c r="E2226" s="6" t="s">
        <v>9756</v>
      </c>
      <c r="F2226" s="10"/>
      <c r="G2226" s="11" t="s">
        <v>9757</v>
      </c>
      <c r="H2226" s="12">
        <v>20</v>
      </c>
      <c r="I2226" s="13" t="s">
        <v>41</v>
      </c>
      <c r="J2226" s="13"/>
      <c r="K2226" s="13"/>
      <c r="L2226" s="4">
        <v>4</v>
      </c>
      <c r="M2226" s="14">
        <f>179*(1-P3/100)</f>
        <v>179</v>
      </c>
      <c r="N2226" s="15"/>
      <c r="O2226" s="13">
        <f t="shared" si="100"/>
        <v>0</v>
      </c>
      <c r="P2226" s="22">
        <f>0.204*N2226</f>
        <v>0</v>
      </c>
      <c r="Q2226" s="23">
        <f>0.00034*N2226</f>
        <v>0</v>
      </c>
      <c r="R2226" s="24"/>
      <c r="S2226" s="25" t="s">
        <v>9758</v>
      </c>
      <c r="T2226" s="25" t="s">
        <v>43</v>
      </c>
      <c r="U2226" s="5" t="s">
        <v>9583</v>
      </c>
      <c r="V2226" s="5" t="s">
        <v>9759</v>
      </c>
      <c r="W2226" s="5" t="s">
        <v>2731</v>
      </c>
      <c r="X2226" s="5" t="s">
        <v>7614</v>
      </c>
      <c r="Y2226" s="5"/>
      <c r="Z2226" s="5" t="str">
        <f>HYPERLINK("https://knigipp.ru/api/getInfo/image/1127c464-79a3-11e6-97ea-5cf3fc4a2490")</f>
        <v>https://knigipp.ru/api/getInfo/image/1127c464-79a3-11e6-97ea-5cf3fc4a2490</v>
      </c>
      <c r="AA2226" s="33">
        <v>112</v>
      </c>
      <c r="AB2226" s="5"/>
      <c r="AC2226" s="5" t="s">
        <v>86</v>
      </c>
      <c r="AD2226" s="5"/>
      <c r="AE2226" s="5" t="s">
        <v>49</v>
      </c>
      <c r="AF2226" s="5"/>
      <c r="AG2226" s="5" t="s">
        <v>9729</v>
      </c>
      <c r="AH2226" s="5" t="s">
        <v>9730</v>
      </c>
    </row>
    <row r="2227" spans="2:34" ht="21" customHeight="1" outlineLevel="4" x14ac:dyDescent="0.2">
      <c r="B2227" s="42">
        <v>1744</v>
      </c>
      <c r="C2227" s="5" t="s">
        <v>9760</v>
      </c>
      <c r="D2227" s="5" t="s">
        <v>9761</v>
      </c>
      <c r="E2227" s="6" t="s">
        <v>9762</v>
      </c>
      <c r="F2227" s="10"/>
      <c r="G2227" s="11" t="s">
        <v>9763</v>
      </c>
      <c r="H2227" s="12">
        <v>10</v>
      </c>
      <c r="I2227" s="13" t="s">
        <v>371</v>
      </c>
      <c r="J2227" s="13"/>
      <c r="K2227" s="13"/>
      <c r="L2227" s="4">
        <v>2</v>
      </c>
      <c r="M2227" s="14">
        <f>279*(1-P3/100)</f>
        <v>279</v>
      </c>
      <c r="N2227" s="15"/>
      <c r="O2227" s="13">
        <f t="shared" si="100"/>
        <v>0</v>
      </c>
      <c r="P2227" s="22">
        <f>0.318*N2227</f>
        <v>0</v>
      </c>
      <c r="Q2227" s="23">
        <f>0.00055*N2227</f>
        <v>0</v>
      </c>
      <c r="R2227" s="24"/>
      <c r="S2227" s="25" t="s">
        <v>9764</v>
      </c>
      <c r="T2227" s="25" t="s">
        <v>43</v>
      </c>
      <c r="U2227" s="5" t="s">
        <v>8520</v>
      </c>
      <c r="V2227" s="5" t="s">
        <v>9765</v>
      </c>
      <c r="W2227" s="5" t="s">
        <v>46</v>
      </c>
      <c r="X2227" s="5" t="s">
        <v>9766</v>
      </c>
      <c r="Y2227" s="5"/>
      <c r="Z2227" s="5" t="str">
        <f>HYPERLINK("https://knigipp.ru/api/getInfo/image/53639b5a-ccc1-11ee-a25a-00155d82e908")</f>
        <v>https://knigipp.ru/api/getInfo/image/53639b5a-ccc1-11ee-a25a-00155d82e908</v>
      </c>
      <c r="AA2227" s="33">
        <v>208</v>
      </c>
      <c r="AB2227" s="5" t="s">
        <v>47</v>
      </c>
      <c r="AC2227" s="5" t="s">
        <v>86</v>
      </c>
      <c r="AD2227" s="5"/>
      <c r="AE2227" s="5" t="s">
        <v>49</v>
      </c>
      <c r="AF2227" s="5"/>
      <c r="AG2227" s="5" t="s">
        <v>9729</v>
      </c>
      <c r="AH2227" s="5" t="s">
        <v>9767</v>
      </c>
    </row>
    <row r="2228" spans="2:34" ht="21" customHeight="1" outlineLevel="4" x14ac:dyDescent="0.2">
      <c r="B2228" s="42">
        <v>1745</v>
      </c>
      <c r="C2228" s="5" t="s">
        <v>9768</v>
      </c>
      <c r="D2228" s="5" t="s">
        <v>9769</v>
      </c>
      <c r="E2228" s="6" t="s">
        <v>9770</v>
      </c>
      <c r="F2228" s="10"/>
      <c r="G2228" s="11" t="s">
        <v>9771</v>
      </c>
      <c r="H2228" s="12">
        <v>20</v>
      </c>
      <c r="I2228" s="13" t="s">
        <v>41</v>
      </c>
      <c r="J2228" s="13"/>
      <c r="K2228" s="13"/>
      <c r="L2228" s="4">
        <v>4</v>
      </c>
      <c r="M2228" s="14">
        <f>179*(1-P3/100)</f>
        <v>179</v>
      </c>
      <c r="N2228" s="15"/>
      <c r="O2228" s="13">
        <f t="shared" si="100"/>
        <v>0</v>
      </c>
      <c r="P2228" s="22">
        <f>0.217*N2228</f>
        <v>0</v>
      </c>
      <c r="Q2228" s="23">
        <f>0.00036*N2228</f>
        <v>0</v>
      </c>
      <c r="R2228" s="24"/>
      <c r="S2228" s="25" t="s">
        <v>9772</v>
      </c>
      <c r="T2228" s="25" t="s">
        <v>43</v>
      </c>
      <c r="U2228" s="5" t="s">
        <v>9773</v>
      </c>
      <c r="V2228" s="5" t="s">
        <v>9774</v>
      </c>
      <c r="W2228" s="5" t="s">
        <v>46</v>
      </c>
      <c r="X2228" s="5" t="s">
        <v>2560</v>
      </c>
      <c r="Y2228" s="5"/>
      <c r="Z2228" s="5" t="str">
        <f>HYPERLINK("https://knigipp.ru/api/getInfo/image/9ec8d3cb-79a2-11e6-97ea-5cf3fc4a2490")</f>
        <v>https://knigipp.ru/api/getInfo/image/9ec8d3cb-79a2-11e6-97ea-5cf3fc4a2490</v>
      </c>
      <c r="AA2228" s="33">
        <v>112</v>
      </c>
      <c r="AB2228" s="5"/>
      <c r="AC2228" s="5" t="s">
        <v>86</v>
      </c>
      <c r="AD2228" s="5"/>
      <c r="AE2228" s="5" t="s">
        <v>49</v>
      </c>
      <c r="AF2228" s="5"/>
      <c r="AG2228" s="5" t="s">
        <v>9729</v>
      </c>
      <c r="AH2228" s="5" t="s">
        <v>9730</v>
      </c>
    </row>
    <row r="2229" spans="2:34" ht="21" customHeight="1" outlineLevel="4" x14ac:dyDescent="0.2">
      <c r="B2229" s="42">
        <v>1746</v>
      </c>
      <c r="C2229" s="5" t="s">
        <v>9775</v>
      </c>
      <c r="D2229" s="5" t="s">
        <v>9776</v>
      </c>
      <c r="E2229" s="6" t="s">
        <v>9777</v>
      </c>
      <c r="F2229" s="10"/>
      <c r="G2229" s="11" t="s">
        <v>9778</v>
      </c>
      <c r="H2229" s="12">
        <v>20</v>
      </c>
      <c r="I2229" s="13" t="s">
        <v>41</v>
      </c>
      <c r="J2229" s="13"/>
      <c r="K2229" s="13"/>
      <c r="L2229" s="4">
        <v>3</v>
      </c>
      <c r="M2229" s="14">
        <f>219*(1-P3/100)</f>
        <v>219</v>
      </c>
      <c r="N2229" s="15"/>
      <c r="O2229" s="13">
        <f t="shared" si="100"/>
        <v>0</v>
      </c>
      <c r="P2229" s="22">
        <f>0.284*N2229</f>
        <v>0</v>
      </c>
      <c r="Q2229" s="23">
        <f>0.00031*N2229</f>
        <v>0</v>
      </c>
      <c r="R2229" s="24"/>
      <c r="S2229" s="25" t="s">
        <v>9779</v>
      </c>
      <c r="T2229" s="25" t="s">
        <v>43</v>
      </c>
      <c r="U2229" s="5" t="s">
        <v>9626</v>
      </c>
      <c r="V2229" s="5" t="s">
        <v>9780</v>
      </c>
      <c r="W2229" s="5" t="s">
        <v>2612</v>
      </c>
      <c r="X2229" s="5"/>
      <c r="Y2229" s="5"/>
      <c r="Z2229" s="5" t="str">
        <f>HYPERLINK("https://knigipp.ru/api/getInfo/image/e6e34915-38fb-11ea-a240-ac1f6b442184")</f>
        <v>https://knigipp.ru/api/getInfo/image/e6e34915-38fb-11ea-a240-ac1f6b442184</v>
      </c>
      <c r="AA2229" s="33">
        <v>192</v>
      </c>
      <c r="AB2229" s="5"/>
      <c r="AC2229" s="5" t="s">
        <v>86</v>
      </c>
      <c r="AD2229" s="5"/>
      <c r="AE2229" s="5" t="s">
        <v>49</v>
      </c>
      <c r="AF2229" s="5"/>
      <c r="AG2229" s="5" t="s">
        <v>9729</v>
      </c>
      <c r="AH2229" s="5" t="s">
        <v>9730</v>
      </c>
    </row>
    <row r="2230" spans="2:34" ht="21" customHeight="1" outlineLevel="4" x14ac:dyDescent="0.2">
      <c r="B2230" s="42">
        <v>1747</v>
      </c>
      <c r="C2230" s="5" t="s">
        <v>9781</v>
      </c>
      <c r="D2230" s="5" t="s">
        <v>9782</v>
      </c>
      <c r="E2230" s="6" t="s">
        <v>9783</v>
      </c>
      <c r="F2230" s="10"/>
      <c r="G2230" s="11" t="s">
        <v>9784</v>
      </c>
      <c r="H2230" s="12">
        <v>20</v>
      </c>
      <c r="I2230" s="13" t="s">
        <v>261</v>
      </c>
      <c r="J2230" s="13"/>
      <c r="K2230" s="13"/>
      <c r="L2230" s="4">
        <v>3</v>
      </c>
      <c r="M2230" s="14">
        <f>219*(1-P3/100)</f>
        <v>219</v>
      </c>
      <c r="N2230" s="15"/>
      <c r="O2230" s="13">
        <f t="shared" si="100"/>
        <v>0</v>
      </c>
      <c r="P2230" s="22">
        <f>0.272*N2230</f>
        <v>0</v>
      </c>
      <c r="Q2230" s="23">
        <f>0.00053*N2230</f>
        <v>0</v>
      </c>
      <c r="R2230" s="24"/>
      <c r="S2230" s="25" t="s">
        <v>9785</v>
      </c>
      <c r="T2230" s="25" t="s">
        <v>43</v>
      </c>
      <c r="U2230" s="5" t="s">
        <v>9560</v>
      </c>
      <c r="V2230" s="5" t="s">
        <v>9786</v>
      </c>
      <c r="W2230" s="5" t="s">
        <v>2731</v>
      </c>
      <c r="X2230" s="5"/>
      <c r="Y2230" s="5"/>
      <c r="Z2230" s="5" t="str">
        <f>HYPERLINK("https://knigipp.ru/api/getInfo/image/4c9e1ad0-264c-11ea-a239-ac1f6b442184")</f>
        <v>https://knigipp.ru/api/getInfo/image/4c9e1ad0-264c-11ea-a239-ac1f6b442184</v>
      </c>
      <c r="AA2230" s="33">
        <v>176</v>
      </c>
      <c r="AB2230" s="5"/>
      <c r="AC2230" s="5" t="s">
        <v>86</v>
      </c>
      <c r="AD2230" s="5"/>
      <c r="AE2230" s="5" t="s">
        <v>49</v>
      </c>
      <c r="AF2230" s="5"/>
      <c r="AG2230" s="5" t="s">
        <v>9729</v>
      </c>
      <c r="AH2230" s="5" t="s">
        <v>9730</v>
      </c>
    </row>
    <row r="2231" spans="2:34" ht="21" customHeight="1" outlineLevel="4" x14ac:dyDescent="0.2">
      <c r="B2231" s="42">
        <v>1748</v>
      </c>
      <c r="C2231" s="5" t="s">
        <v>9787</v>
      </c>
      <c r="D2231" s="5" t="s">
        <v>9788</v>
      </c>
      <c r="E2231" s="6" t="s">
        <v>9789</v>
      </c>
      <c r="F2231" s="10"/>
      <c r="G2231" s="11" t="s">
        <v>9790</v>
      </c>
      <c r="H2231" s="12">
        <v>20</v>
      </c>
      <c r="I2231" s="13" t="s">
        <v>41</v>
      </c>
      <c r="J2231" s="13"/>
      <c r="K2231" s="13"/>
      <c r="L2231" s="4">
        <v>4</v>
      </c>
      <c r="M2231" s="14">
        <f>287*(1-P3/100)</f>
        <v>287</v>
      </c>
      <c r="N2231" s="15"/>
      <c r="O2231" s="13">
        <f t="shared" si="100"/>
        <v>0</v>
      </c>
      <c r="P2231" s="22">
        <f>0.191*N2231</f>
        <v>0</v>
      </c>
      <c r="Q2231" s="23">
        <f>0.00039*N2231</f>
        <v>0</v>
      </c>
      <c r="R2231" s="24"/>
      <c r="S2231" s="25" t="s">
        <v>9791</v>
      </c>
      <c r="T2231" s="25" t="s">
        <v>43</v>
      </c>
      <c r="U2231" s="5" t="s">
        <v>9792</v>
      </c>
      <c r="V2231" s="5" t="s">
        <v>9793</v>
      </c>
      <c r="W2231" s="5" t="s">
        <v>2731</v>
      </c>
      <c r="X2231" s="5"/>
      <c r="Y2231" s="5"/>
      <c r="Z2231" s="5" t="str">
        <f>HYPERLINK("https://knigipp.ru/api/getInfo/image/57479e51-8e0d-11eb-a278-ac1f6b442184")</f>
        <v>https://knigipp.ru/api/getInfo/image/57479e51-8e0d-11eb-a278-ac1f6b442184</v>
      </c>
      <c r="AA2231" s="33">
        <v>96</v>
      </c>
      <c r="AB2231" s="5"/>
      <c r="AC2231" s="5" t="s">
        <v>86</v>
      </c>
      <c r="AD2231" s="5"/>
      <c r="AE2231" s="5" t="s">
        <v>49</v>
      </c>
      <c r="AF2231" s="5"/>
      <c r="AG2231" s="5" t="s">
        <v>9729</v>
      </c>
      <c r="AH2231" s="5" t="s">
        <v>9730</v>
      </c>
    </row>
    <row r="2232" spans="2:34" ht="21" customHeight="1" outlineLevel="4" x14ac:dyDescent="0.2">
      <c r="B2232" s="42">
        <v>1749</v>
      </c>
      <c r="C2232" s="5" t="s">
        <v>9794</v>
      </c>
      <c r="D2232" s="5" t="s">
        <v>9795</v>
      </c>
      <c r="E2232" s="6" t="s">
        <v>9796</v>
      </c>
      <c r="F2232" s="10"/>
      <c r="G2232" s="11" t="s">
        <v>9797</v>
      </c>
      <c r="H2232" s="12">
        <v>20</v>
      </c>
      <c r="I2232" s="13" t="s">
        <v>41</v>
      </c>
      <c r="J2232" s="13"/>
      <c r="K2232" s="13"/>
      <c r="L2232" s="4">
        <v>4</v>
      </c>
      <c r="M2232" s="14">
        <f>179*(1-P3/100)</f>
        <v>179</v>
      </c>
      <c r="N2232" s="15"/>
      <c r="O2232" s="13">
        <f t="shared" si="100"/>
        <v>0</v>
      </c>
      <c r="P2232" s="22">
        <f>0.207*N2232</f>
        <v>0</v>
      </c>
      <c r="Q2232" s="23">
        <f>0.00047*N2232</f>
        <v>0</v>
      </c>
      <c r="R2232" s="24"/>
      <c r="S2232" s="25" t="s">
        <v>9798</v>
      </c>
      <c r="T2232" s="25" t="s">
        <v>43</v>
      </c>
      <c r="U2232" s="5" t="s">
        <v>9799</v>
      </c>
      <c r="V2232" s="5" t="s">
        <v>9800</v>
      </c>
      <c r="W2232" s="5" t="s">
        <v>46</v>
      </c>
      <c r="X2232" s="5" t="s">
        <v>7614</v>
      </c>
      <c r="Y2232" s="5"/>
      <c r="Z2232" s="5" t="str">
        <f>HYPERLINK("https://knigipp.ru/api/getInfo/image/c8273bec-79a2-11e6-97ea-5cf3fc4a2490")</f>
        <v>https://knigipp.ru/api/getInfo/image/c8273bec-79a2-11e6-97ea-5cf3fc4a2490</v>
      </c>
      <c r="AA2232" s="33">
        <v>112</v>
      </c>
      <c r="AB2232" s="5"/>
      <c r="AC2232" s="5" t="s">
        <v>86</v>
      </c>
      <c r="AD2232" s="5"/>
      <c r="AE2232" s="5" t="s">
        <v>49</v>
      </c>
      <c r="AF2232" s="5"/>
      <c r="AG2232" s="5" t="s">
        <v>9729</v>
      </c>
      <c r="AH2232" s="5" t="s">
        <v>9730</v>
      </c>
    </row>
    <row r="2233" spans="2:34" ht="21" customHeight="1" outlineLevel="4" x14ac:dyDescent="0.2">
      <c r="B2233" s="42">
        <v>1750</v>
      </c>
      <c r="C2233" s="5" t="s">
        <v>9801</v>
      </c>
      <c r="D2233" s="5" t="s">
        <v>9802</v>
      </c>
      <c r="E2233" s="6" t="s">
        <v>9803</v>
      </c>
      <c r="F2233" s="10"/>
      <c r="G2233" s="11" t="s">
        <v>9804</v>
      </c>
      <c r="H2233" s="12">
        <v>20</v>
      </c>
      <c r="I2233" s="13" t="s">
        <v>41</v>
      </c>
      <c r="J2233" s="13"/>
      <c r="K2233" s="13"/>
      <c r="L2233" s="4">
        <v>4</v>
      </c>
      <c r="M2233" s="14">
        <f>179*(1-P3/100)</f>
        <v>179</v>
      </c>
      <c r="N2233" s="15"/>
      <c r="O2233" s="13">
        <f t="shared" si="100"/>
        <v>0</v>
      </c>
      <c r="P2233" s="22">
        <f>0.218*N2233</f>
        <v>0</v>
      </c>
      <c r="Q2233" s="23">
        <f>0.00037*N2233</f>
        <v>0</v>
      </c>
      <c r="R2233" s="24"/>
      <c r="S2233" s="25" t="s">
        <v>9805</v>
      </c>
      <c r="T2233" s="25" t="s">
        <v>43</v>
      </c>
      <c r="U2233" s="5" t="s">
        <v>8980</v>
      </c>
      <c r="V2233" s="5" t="s">
        <v>9806</v>
      </c>
      <c r="W2233" s="5" t="s">
        <v>46</v>
      </c>
      <c r="X2233" s="5" t="s">
        <v>2560</v>
      </c>
      <c r="Y2233" s="5"/>
      <c r="Z2233" s="5" t="str">
        <f>HYPERLINK("https://knigipp.ru/api/getInfo/image/a38f8147-79a5-11e6-97ea-5cf3fc4a2490")</f>
        <v>https://knigipp.ru/api/getInfo/image/a38f8147-79a5-11e6-97ea-5cf3fc4a2490</v>
      </c>
      <c r="AA2233" s="33">
        <v>112</v>
      </c>
      <c r="AB2233" s="5"/>
      <c r="AC2233" s="5" t="s">
        <v>86</v>
      </c>
      <c r="AD2233" s="5"/>
      <c r="AE2233" s="5" t="s">
        <v>49</v>
      </c>
      <c r="AF2233" s="5"/>
      <c r="AG2233" s="5" t="s">
        <v>9729</v>
      </c>
      <c r="AH2233" s="5" t="s">
        <v>9730</v>
      </c>
    </row>
    <row r="2234" spans="2:34" ht="21" customHeight="1" outlineLevel="4" x14ac:dyDescent="0.2">
      <c r="B2234" s="42">
        <v>1751</v>
      </c>
      <c r="C2234" s="5" t="s">
        <v>9807</v>
      </c>
      <c r="D2234" s="5" t="s">
        <v>9808</v>
      </c>
      <c r="E2234" s="6" t="s">
        <v>9809</v>
      </c>
      <c r="F2234" s="10"/>
      <c r="G2234" s="11" t="s">
        <v>9810</v>
      </c>
      <c r="H2234" s="12">
        <v>20</v>
      </c>
      <c r="I2234" s="13" t="s">
        <v>41</v>
      </c>
      <c r="J2234" s="13"/>
      <c r="K2234" s="13"/>
      <c r="L2234" s="4">
        <v>3</v>
      </c>
      <c r="M2234" s="14">
        <f>219*(1-P3/100)</f>
        <v>219</v>
      </c>
      <c r="N2234" s="15"/>
      <c r="O2234" s="13">
        <f t="shared" si="100"/>
        <v>0</v>
      </c>
      <c r="P2234" s="22">
        <f>0.219*N2234</f>
        <v>0</v>
      </c>
      <c r="Q2234" s="23">
        <f>0.00045*N2234</f>
        <v>0</v>
      </c>
      <c r="R2234" s="24"/>
      <c r="S2234" s="25" t="s">
        <v>9811</v>
      </c>
      <c r="T2234" s="25" t="s">
        <v>43</v>
      </c>
      <c r="U2234" s="5" t="s">
        <v>9538</v>
      </c>
      <c r="V2234" s="5" t="s">
        <v>9812</v>
      </c>
      <c r="W2234" s="5" t="s">
        <v>46</v>
      </c>
      <c r="X2234" s="5"/>
      <c r="Y2234" s="5"/>
      <c r="Z2234" s="5" t="str">
        <f>HYPERLINK("https://knigipp.ru/api/getInfo/image/7be44b5b-36b9-11ee-a240-00155d82e902")</f>
        <v>https://knigipp.ru/api/getInfo/image/7be44b5b-36b9-11ee-a240-00155d82e902</v>
      </c>
      <c r="AA2234" s="33">
        <v>128</v>
      </c>
      <c r="AB2234" s="5" t="s">
        <v>47</v>
      </c>
      <c r="AC2234" s="5" t="s">
        <v>86</v>
      </c>
      <c r="AD2234" s="5"/>
      <c r="AE2234" s="5" t="s">
        <v>49</v>
      </c>
      <c r="AF2234" s="5"/>
      <c r="AG2234" s="5" t="s">
        <v>9729</v>
      </c>
      <c r="AH2234" s="5" t="s">
        <v>9730</v>
      </c>
    </row>
    <row r="2235" spans="2:34" ht="21" customHeight="1" outlineLevel="4" x14ac:dyDescent="0.2">
      <c r="B2235" s="42">
        <v>1752</v>
      </c>
      <c r="C2235" s="5" t="s">
        <v>9813</v>
      </c>
      <c r="D2235" s="5" t="s">
        <v>9814</v>
      </c>
      <c r="E2235" s="6" t="s">
        <v>9815</v>
      </c>
      <c r="F2235" s="10"/>
      <c r="G2235" s="11" t="s">
        <v>9816</v>
      </c>
      <c r="H2235" s="12">
        <v>20</v>
      </c>
      <c r="I2235" s="13" t="s">
        <v>41</v>
      </c>
      <c r="J2235" s="13"/>
      <c r="K2235" s="13"/>
      <c r="L2235" s="4">
        <v>3</v>
      </c>
      <c r="M2235" s="14">
        <f>219*(1-P3/100)</f>
        <v>219</v>
      </c>
      <c r="N2235" s="15"/>
      <c r="O2235" s="13">
        <f t="shared" si="100"/>
        <v>0</v>
      </c>
      <c r="P2235" s="22">
        <f>0.202*N2235</f>
        <v>0</v>
      </c>
      <c r="Q2235" s="23">
        <f>0.00038*N2235</f>
        <v>0</v>
      </c>
      <c r="R2235" s="24"/>
      <c r="S2235" s="25" t="s">
        <v>9817</v>
      </c>
      <c r="T2235" s="25" t="s">
        <v>43</v>
      </c>
      <c r="U2235" s="5" t="s">
        <v>8980</v>
      </c>
      <c r="V2235" s="5" t="s">
        <v>9818</v>
      </c>
      <c r="W2235" s="5" t="s">
        <v>46</v>
      </c>
      <c r="X2235" s="5" t="s">
        <v>9065</v>
      </c>
      <c r="Y2235" s="5"/>
      <c r="Z2235" s="5" t="str">
        <f>HYPERLINK("https://knigipp.ru/api/getInfo/image/d97eaedf-79a2-11e6-97ea-5cf3fc4a2490")</f>
        <v>https://knigipp.ru/api/getInfo/image/d97eaedf-79a2-11e6-97ea-5cf3fc4a2490</v>
      </c>
      <c r="AA2235" s="33">
        <v>128</v>
      </c>
      <c r="AB2235" s="5"/>
      <c r="AC2235" s="5" t="s">
        <v>86</v>
      </c>
      <c r="AD2235" s="5"/>
      <c r="AE2235" s="5" t="s">
        <v>49</v>
      </c>
      <c r="AF2235" s="5"/>
      <c r="AG2235" s="5" t="s">
        <v>9729</v>
      </c>
      <c r="AH2235" s="5" t="s">
        <v>9730</v>
      </c>
    </row>
    <row r="2236" spans="2:34" ht="21" customHeight="1" outlineLevel="4" x14ac:dyDescent="0.2">
      <c r="B2236" s="42">
        <v>1753</v>
      </c>
      <c r="C2236" s="5" t="s">
        <v>9819</v>
      </c>
      <c r="D2236" s="5" t="s">
        <v>9820</v>
      </c>
      <c r="E2236" s="6" t="s">
        <v>9821</v>
      </c>
      <c r="F2236" s="10"/>
      <c r="G2236" s="11" t="s">
        <v>9822</v>
      </c>
      <c r="H2236" s="12">
        <v>20</v>
      </c>
      <c r="I2236" s="13" t="s">
        <v>41</v>
      </c>
      <c r="J2236" s="13"/>
      <c r="K2236" s="13"/>
      <c r="L2236" s="4">
        <v>4</v>
      </c>
      <c r="M2236" s="14">
        <f>179*(1-P3/100)</f>
        <v>179</v>
      </c>
      <c r="N2236" s="15"/>
      <c r="O2236" s="13">
        <f t="shared" si="100"/>
        <v>0</v>
      </c>
      <c r="P2236" s="22">
        <f>0.189*N2236</f>
        <v>0</v>
      </c>
      <c r="Q2236" s="23">
        <f>0.00047*N2236</f>
        <v>0</v>
      </c>
      <c r="R2236" s="24"/>
      <c r="S2236" s="25" t="s">
        <v>9823</v>
      </c>
      <c r="T2236" s="25" t="s">
        <v>43</v>
      </c>
      <c r="U2236" s="5" t="s">
        <v>9824</v>
      </c>
      <c r="V2236" s="5" t="s">
        <v>9825</v>
      </c>
      <c r="W2236" s="5" t="s">
        <v>2731</v>
      </c>
      <c r="X2236" s="5" t="s">
        <v>9826</v>
      </c>
      <c r="Y2236" s="5"/>
      <c r="Z2236" s="5" t="str">
        <f>HYPERLINK("https://knigipp.ru/api/getInfo/image/168f9e71-12eb-11e7-b743-5cf3fc4a2490")</f>
        <v>https://knigipp.ru/api/getInfo/image/168f9e71-12eb-11e7-b743-5cf3fc4a2490</v>
      </c>
      <c r="AA2236" s="33">
        <v>96</v>
      </c>
      <c r="AB2236" s="5"/>
      <c r="AC2236" s="5" t="s">
        <v>86</v>
      </c>
      <c r="AD2236" s="5"/>
      <c r="AE2236" s="5" t="s">
        <v>49</v>
      </c>
      <c r="AF2236" s="5"/>
      <c r="AG2236" s="5" t="s">
        <v>9729</v>
      </c>
      <c r="AH2236" s="5" t="s">
        <v>9730</v>
      </c>
    </row>
    <row r="2237" spans="2:34" ht="21" customHeight="1" outlineLevel="4" x14ac:dyDescent="0.2">
      <c r="B2237" s="42">
        <v>1754</v>
      </c>
      <c r="C2237" s="5" t="s">
        <v>9827</v>
      </c>
      <c r="D2237" s="5" t="s">
        <v>9828</v>
      </c>
      <c r="E2237" s="6" t="s">
        <v>9829</v>
      </c>
      <c r="F2237" s="10"/>
      <c r="G2237" s="11" t="s">
        <v>9830</v>
      </c>
      <c r="H2237" s="12">
        <v>20</v>
      </c>
      <c r="I2237" s="13" t="s">
        <v>41</v>
      </c>
      <c r="J2237" s="13"/>
      <c r="K2237" s="13"/>
      <c r="L2237" s="4">
        <v>4</v>
      </c>
      <c r="M2237" s="14">
        <f>179*(1-P3/100)</f>
        <v>179</v>
      </c>
      <c r="N2237" s="15"/>
      <c r="O2237" s="13">
        <f t="shared" si="100"/>
        <v>0</v>
      </c>
      <c r="P2237" s="22">
        <f>0.218*N2237</f>
        <v>0</v>
      </c>
      <c r="Q2237" s="23">
        <f>0.00037*N2237</f>
        <v>0</v>
      </c>
      <c r="R2237" s="24"/>
      <c r="S2237" s="25" t="s">
        <v>9831</v>
      </c>
      <c r="T2237" s="25" t="s">
        <v>43</v>
      </c>
      <c r="U2237" s="5" t="s">
        <v>9832</v>
      </c>
      <c r="V2237" s="5" t="s">
        <v>9833</v>
      </c>
      <c r="W2237" s="5" t="s">
        <v>2731</v>
      </c>
      <c r="X2237" s="5" t="s">
        <v>9826</v>
      </c>
      <c r="Y2237" s="5"/>
      <c r="Z2237" s="5" t="str">
        <f>HYPERLINK("https://knigipp.ru/api/getInfo/image/46617d90-12ea-11e7-b743-5cf3fc4a2490")</f>
        <v>https://knigipp.ru/api/getInfo/image/46617d90-12ea-11e7-b743-5cf3fc4a2490</v>
      </c>
      <c r="AA2237" s="33">
        <v>112</v>
      </c>
      <c r="AB2237" s="5"/>
      <c r="AC2237" s="5" t="s">
        <v>86</v>
      </c>
      <c r="AD2237" s="5"/>
      <c r="AE2237" s="5" t="s">
        <v>49</v>
      </c>
      <c r="AF2237" s="5"/>
      <c r="AG2237" s="5" t="s">
        <v>9729</v>
      </c>
      <c r="AH2237" s="5" t="s">
        <v>9730</v>
      </c>
    </row>
    <row r="2238" spans="2:34" ht="21" customHeight="1" outlineLevel="4" x14ac:dyDescent="0.2">
      <c r="B2238" s="42">
        <v>1755</v>
      </c>
      <c r="C2238" s="5" t="s">
        <v>9834</v>
      </c>
      <c r="D2238" s="5" t="s">
        <v>9835</v>
      </c>
      <c r="E2238" s="6" t="s">
        <v>9836</v>
      </c>
      <c r="F2238" s="10"/>
      <c r="G2238" s="11" t="s">
        <v>9837</v>
      </c>
      <c r="H2238" s="12">
        <v>20</v>
      </c>
      <c r="I2238" s="13" t="s">
        <v>41</v>
      </c>
      <c r="J2238" s="13"/>
      <c r="K2238" s="13"/>
      <c r="L2238" s="4">
        <v>3</v>
      </c>
      <c r="M2238" s="14">
        <f>219*(1-P3/100)</f>
        <v>219</v>
      </c>
      <c r="N2238" s="15"/>
      <c r="O2238" s="13">
        <f t="shared" si="100"/>
        <v>0</v>
      </c>
      <c r="P2238" s="22">
        <f>0.172*N2238</f>
        <v>0</v>
      </c>
      <c r="Q2238" s="23">
        <f>0.00036*N2238</f>
        <v>0</v>
      </c>
      <c r="R2238" s="24"/>
      <c r="S2238" s="25" t="s">
        <v>9838</v>
      </c>
      <c r="T2238" s="25" t="s">
        <v>43</v>
      </c>
      <c r="U2238" s="5" t="s">
        <v>9611</v>
      </c>
      <c r="V2238" s="5" t="s">
        <v>9839</v>
      </c>
      <c r="W2238" s="5" t="s">
        <v>46</v>
      </c>
      <c r="X2238" s="5" t="s">
        <v>9826</v>
      </c>
      <c r="Y2238" s="5"/>
      <c r="Z2238" s="5" t="str">
        <f>HYPERLINK("https://knigipp.ru/api/getInfo/image/6920eff0-12ea-11e7-b743-5cf3fc4a2490")</f>
        <v>https://knigipp.ru/api/getInfo/image/6920eff0-12ea-11e7-b743-5cf3fc4a2490</v>
      </c>
      <c r="AA2238" s="33">
        <v>128</v>
      </c>
      <c r="AB2238" s="5"/>
      <c r="AC2238" s="5" t="s">
        <v>86</v>
      </c>
      <c r="AD2238" s="5"/>
      <c r="AE2238" s="5" t="s">
        <v>49</v>
      </c>
      <c r="AF2238" s="5"/>
      <c r="AG2238" s="5" t="s">
        <v>9729</v>
      </c>
      <c r="AH2238" s="5" t="s">
        <v>9730</v>
      </c>
    </row>
    <row r="2239" spans="2:34" ht="21" customHeight="1" outlineLevel="4" x14ac:dyDescent="0.2">
      <c r="B2239" s="42">
        <v>1756</v>
      </c>
      <c r="C2239" s="5" t="s">
        <v>9840</v>
      </c>
      <c r="D2239" s="5" t="s">
        <v>9841</v>
      </c>
      <c r="E2239" s="6" t="s">
        <v>9842</v>
      </c>
      <c r="F2239" s="10"/>
      <c r="G2239" s="11" t="s">
        <v>9843</v>
      </c>
      <c r="H2239" s="12">
        <v>20</v>
      </c>
      <c r="I2239" s="13" t="s">
        <v>41</v>
      </c>
      <c r="J2239" s="13"/>
      <c r="K2239" s="13"/>
      <c r="L2239" s="4">
        <v>4</v>
      </c>
      <c r="M2239" s="14">
        <f>179*(1-P3/100)</f>
        <v>179</v>
      </c>
      <c r="N2239" s="15"/>
      <c r="O2239" s="13">
        <f t="shared" si="100"/>
        <v>0</v>
      </c>
      <c r="P2239" s="22">
        <f>0.194*N2239</f>
        <v>0</v>
      </c>
      <c r="Q2239" s="23">
        <f>0.00044*N2239</f>
        <v>0</v>
      </c>
      <c r="R2239" s="24"/>
      <c r="S2239" s="25" t="s">
        <v>9844</v>
      </c>
      <c r="T2239" s="25" t="s">
        <v>43</v>
      </c>
      <c r="U2239" s="5" t="s">
        <v>9845</v>
      </c>
      <c r="V2239" s="5" t="s">
        <v>9846</v>
      </c>
      <c r="W2239" s="5" t="s">
        <v>2731</v>
      </c>
      <c r="X2239" s="5" t="s">
        <v>5721</v>
      </c>
      <c r="Y2239" s="5"/>
      <c r="Z2239" s="5" t="str">
        <f>HYPERLINK("https://knigipp.ru/api/getInfo/image/b2ad1141-4ec5-11e8-b825-5cf3fc4a2490")</f>
        <v>https://knigipp.ru/api/getInfo/image/b2ad1141-4ec5-11e8-b825-5cf3fc4a2490</v>
      </c>
      <c r="AA2239" s="33">
        <v>96</v>
      </c>
      <c r="AB2239" s="5"/>
      <c r="AC2239" s="5" t="s">
        <v>86</v>
      </c>
      <c r="AD2239" s="5"/>
      <c r="AE2239" s="5" t="s">
        <v>49</v>
      </c>
      <c r="AF2239" s="5"/>
      <c r="AG2239" s="5" t="s">
        <v>9729</v>
      </c>
      <c r="AH2239" s="5" t="s">
        <v>9730</v>
      </c>
    </row>
    <row r="2240" spans="2:34" ht="21" customHeight="1" outlineLevel="4" x14ac:dyDescent="0.2">
      <c r="B2240" s="42">
        <v>1757</v>
      </c>
      <c r="C2240" s="5" t="s">
        <v>9847</v>
      </c>
      <c r="D2240" s="5" t="s">
        <v>9848</v>
      </c>
      <c r="E2240" s="6" t="s">
        <v>9849</v>
      </c>
      <c r="F2240" s="10"/>
      <c r="G2240" s="11" t="s">
        <v>9850</v>
      </c>
      <c r="H2240" s="12">
        <v>20</v>
      </c>
      <c r="I2240" s="13" t="s">
        <v>371</v>
      </c>
      <c r="J2240" s="13"/>
      <c r="K2240" s="13"/>
      <c r="L2240" s="4">
        <v>3</v>
      </c>
      <c r="M2240" s="14">
        <f>219*(1-P3/100)</f>
        <v>219</v>
      </c>
      <c r="N2240" s="15"/>
      <c r="O2240" s="13">
        <f t="shared" si="100"/>
        <v>0</v>
      </c>
      <c r="P2240" s="22">
        <f>0.207*N2240</f>
        <v>0</v>
      </c>
      <c r="Q2240" s="23">
        <f>0.00048*N2240</f>
        <v>0</v>
      </c>
      <c r="R2240" s="24"/>
      <c r="S2240" s="25" t="s">
        <v>9851</v>
      </c>
      <c r="T2240" s="25" t="s">
        <v>43</v>
      </c>
      <c r="U2240" s="5" t="s">
        <v>9773</v>
      </c>
      <c r="V2240" s="5" t="s">
        <v>9852</v>
      </c>
      <c r="W2240" s="5" t="s">
        <v>46</v>
      </c>
      <c r="X2240" s="5" t="s">
        <v>9084</v>
      </c>
      <c r="Y2240" s="5"/>
      <c r="Z2240" s="5" t="str">
        <f>HYPERLINK("https://knigipp.ru/api/getInfo/image/054cc14c-79a3-11e6-97ea-5cf3fc4a2490")</f>
        <v>https://knigipp.ru/api/getInfo/image/054cc14c-79a3-11e6-97ea-5cf3fc4a2490</v>
      </c>
      <c r="AA2240" s="33">
        <v>112</v>
      </c>
      <c r="AB2240" s="5"/>
      <c r="AC2240" s="5" t="s">
        <v>86</v>
      </c>
      <c r="AD2240" s="5"/>
      <c r="AE2240" s="5" t="s">
        <v>49</v>
      </c>
      <c r="AF2240" s="5"/>
      <c r="AG2240" s="5" t="s">
        <v>9729</v>
      </c>
      <c r="AH2240" s="5" t="s">
        <v>9730</v>
      </c>
    </row>
    <row r="2241" spans="2:34" ht="21" customHeight="1" outlineLevel="4" x14ac:dyDescent="0.2">
      <c r="B2241" s="42">
        <v>1758</v>
      </c>
      <c r="C2241" s="5" t="s">
        <v>9853</v>
      </c>
      <c r="D2241" s="5" t="s">
        <v>9854</v>
      </c>
      <c r="E2241" s="6" t="s">
        <v>9855</v>
      </c>
      <c r="F2241" s="10"/>
      <c r="G2241" s="11" t="s">
        <v>9856</v>
      </c>
      <c r="H2241" s="12">
        <v>20</v>
      </c>
      <c r="I2241" s="13" t="s">
        <v>41</v>
      </c>
      <c r="J2241" s="13"/>
      <c r="K2241" s="13"/>
      <c r="L2241" s="4">
        <v>4</v>
      </c>
      <c r="M2241" s="14">
        <f>179*(1-P3/100)</f>
        <v>179</v>
      </c>
      <c r="N2241" s="15"/>
      <c r="O2241" s="13">
        <f t="shared" si="100"/>
        <v>0</v>
      </c>
      <c r="P2241" s="22">
        <f>0.192*N2241</f>
        <v>0</v>
      </c>
      <c r="Q2241" s="23">
        <f>0.00043*N2241</f>
        <v>0</v>
      </c>
      <c r="R2241" s="24"/>
      <c r="S2241" s="25" t="s">
        <v>9857</v>
      </c>
      <c r="T2241" s="25" t="s">
        <v>43</v>
      </c>
      <c r="U2241" s="5" t="s">
        <v>8575</v>
      </c>
      <c r="V2241" s="5" t="s">
        <v>9858</v>
      </c>
      <c r="W2241" s="5" t="s">
        <v>2731</v>
      </c>
      <c r="X2241" s="5" t="s">
        <v>5721</v>
      </c>
      <c r="Y2241" s="5"/>
      <c r="Z2241" s="5" t="str">
        <f>HYPERLINK("https://knigipp.ru/api/getInfo/image/6ad17111-4ec5-11e8-b825-5cf3fc4a2490")</f>
        <v>https://knigipp.ru/api/getInfo/image/6ad17111-4ec5-11e8-b825-5cf3fc4a2490</v>
      </c>
      <c r="AA2241" s="33">
        <v>96</v>
      </c>
      <c r="AB2241" s="5"/>
      <c r="AC2241" s="5" t="s">
        <v>86</v>
      </c>
      <c r="AD2241" s="5"/>
      <c r="AE2241" s="5" t="s">
        <v>49</v>
      </c>
      <c r="AF2241" s="5"/>
      <c r="AG2241" s="5" t="s">
        <v>9729</v>
      </c>
      <c r="AH2241" s="5" t="s">
        <v>9730</v>
      </c>
    </row>
    <row r="2242" spans="2:34" ht="21" customHeight="1" outlineLevel="4" x14ac:dyDescent="0.2">
      <c r="B2242" s="42">
        <v>1759</v>
      </c>
      <c r="C2242" s="5" t="s">
        <v>9859</v>
      </c>
      <c r="D2242" s="5" t="s">
        <v>9860</v>
      </c>
      <c r="E2242" s="6" t="s">
        <v>9861</v>
      </c>
      <c r="F2242" s="10"/>
      <c r="G2242" s="11" t="s">
        <v>9862</v>
      </c>
      <c r="H2242" s="12">
        <v>20</v>
      </c>
      <c r="I2242" s="13" t="s">
        <v>41</v>
      </c>
      <c r="J2242" s="13"/>
      <c r="K2242" s="13"/>
      <c r="L2242" s="4">
        <v>2</v>
      </c>
      <c r="M2242" s="14">
        <f>279*(1-P3/100)</f>
        <v>279</v>
      </c>
      <c r="N2242" s="15"/>
      <c r="O2242" s="13">
        <f t="shared" si="100"/>
        <v>0</v>
      </c>
      <c r="P2242" s="32">
        <f>0.17*N2242</f>
        <v>0</v>
      </c>
      <c r="Q2242" s="23">
        <f>0.00036*N2242</f>
        <v>0</v>
      </c>
      <c r="R2242" s="24"/>
      <c r="S2242" s="25" t="s">
        <v>9863</v>
      </c>
      <c r="T2242" s="25" t="s">
        <v>43</v>
      </c>
      <c r="U2242" s="5" t="s">
        <v>8850</v>
      </c>
      <c r="V2242" s="5"/>
      <c r="W2242" s="5" t="s">
        <v>2731</v>
      </c>
      <c r="X2242" s="5"/>
      <c r="Y2242" s="5"/>
      <c r="Z2242" s="5" t="str">
        <f>HYPERLINK("https://knigipp.ru/api/getInfo/image/7d5654f2-7b51-11eb-a275-ac1f6b442184")</f>
        <v>https://knigipp.ru/api/getInfo/image/7d5654f2-7b51-11eb-a275-ac1f6b442184</v>
      </c>
      <c r="AA2242" s="33">
        <v>272</v>
      </c>
      <c r="AB2242" s="5"/>
      <c r="AC2242" s="5" t="s">
        <v>86</v>
      </c>
      <c r="AD2242" s="5"/>
      <c r="AE2242" s="5" t="s">
        <v>49</v>
      </c>
      <c r="AF2242" s="5"/>
      <c r="AG2242" s="5" t="s">
        <v>9729</v>
      </c>
      <c r="AH2242" s="5" t="s">
        <v>9730</v>
      </c>
    </row>
    <row r="2243" spans="2:34" ht="21" customHeight="1" outlineLevel="4" x14ac:dyDescent="0.2">
      <c r="B2243" s="42">
        <v>1760</v>
      </c>
      <c r="C2243" s="5" t="s">
        <v>9864</v>
      </c>
      <c r="D2243" s="5" t="s">
        <v>9865</v>
      </c>
      <c r="E2243" s="6" t="s">
        <v>9866</v>
      </c>
      <c r="F2243" s="10"/>
      <c r="G2243" s="11" t="s">
        <v>9867</v>
      </c>
      <c r="H2243" s="12">
        <v>20</v>
      </c>
      <c r="I2243" s="13" t="s">
        <v>41</v>
      </c>
      <c r="J2243" s="13"/>
      <c r="K2243" s="13"/>
      <c r="L2243" s="4">
        <v>4</v>
      </c>
      <c r="M2243" s="14">
        <f>179*(1-P3/100)</f>
        <v>179</v>
      </c>
      <c r="N2243" s="15"/>
      <c r="O2243" s="13">
        <f t="shared" si="100"/>
        <v>0</v>
      </c>
      <c r="P2243" s="22">
        <f>0.203*N2243</f>
        <v>0</v>
      </c>
      <c r="Q2243" s="23">
        <f>0.00124*N2243</f>
        <v>0</v>
      </c>
      <c r="R2243" s="24"/>
      <c r="S2243" s="25" t="s">
        <v>9868</v>
      </c>
      <c r="T2243" s="25" t="s">
        <v>43</v>
      </c>
      <c r="U2243" s="5" t="s">
        <v>9869</v>
      </c>
      <c r="V2243" s="5" t="s">
        <v>9870</v>
      </c>
      <c r="W2243" s="5" t="s">
        <v>2731</v>
      </c>
      <c r="X2243" s="5" t="s">
        <v>5721</v>
      </c>
      <c r="Y2243" s="5"/>
      <c r="Z2243" s="5" t="str">
        <f>HYPERLINK("https://knigipp.ru/api/getInfo/image/91efba20-4ec5-11e8-b825-5cf3fc4a2490")</f>
        <v>https://knigipp.ru/api/getInfo/image/91efba20-4ec5-11e8-b825-5cf3fc4a2490</v>
      </c>
      <c r="AA2243" s="33">
        <v>96</v>
      </c>
      <c r="AB2243" s="5"/>
      <c r="AC2243" s="5" t="s">
        <v>86</v>
      </c>
      <c r="AD2243" s="5"/>
      <c r="AE2243" s="5" t="s">
        <v>49</v>
      </c>
      <c r="AF2243" s="5"/>
      <c r="AG2243" s="5" t="s">
        <v>9729</v>
      </c>
      <c r="AH2243" s="5" t="s">
        <v>9730</v>
      </c>
    </row>
    <row r="2244" spans="2:34" ht="21" customHeight="1" outlineLevel="4" x14ac:dyDescent="0.2">
      <c r="B2244" s="42">
        <v>1761</v>
      </c>
      <c r="C2244" s="5" t="s">
        <v>9871</v>
      </c>
      <c r="D2244" s="5" t="s">
        <v>9872</v>
      </c>
      <c r="E2244" s="6" t="s">
        <v>9873</v>
      </c>
      <c r="F2244" s="10"/>
      <c r="G2244" s="11" t="s">
        <v>9874</v>
      </c>
      <c r="H2244" s="12">
        <v>20</v>
      </c>
      <c r="I2244" s="13" t="s">
        <v>41</v>
      </c>
      <c r="J2244" s="13"/>
      <c r="K2244" s="13"/>
      <c r="L2244" s="4">
        <v>4</v>
      </c>
      <c r="M2244" s="14">
        <f>179*(1-P3/100)</f>
        <v>179</v>
      </c>
      <c r="N2244" s="15"/>
      <c r="O2244" s="13">
        <f t="shared" si="100"/>
        <v>0</v>
      </c>
      <c r="P2244" s="22">
        <f>0.207*N2244</f>
        <v>0</v>
      </c>
      <c r="Q2244" s="23">
        <f>0.00045*N2244</f>
        <v>0</v>
      </c>
      <c r="R2244" s="24"/>
      <c r="S2244" s="25" t="s">
        <v>9875</v>
      </c>
      <c r="T2244" s="25" t="s">
        <v>43</v>
      </c>
      <c r="U2244" s="5" t="s">
        <v>8575</v>
      </c>
      <c r="V2244" s="5" t="s">
        <v>9876</v>
      </c>
      <c r="W2244" s="5" t="s">
        <v>2731</v>
      </c>
      <c r="X2244" s="5" t="s">
        <v>9737</v>
      </c>
      <c r="Y2244" s="5"/>
      <c r="Z2244" s="5" t="str">
        <f>HYPERLINK("https://knigipp.ru/api/getInfo/image/f93f2594-a1e1-11e7-b8ef-5cf3fc4a2490")</f>
        <v>https://knigipp.ru/api/getInfo/image/f93f2594-a1e1-11e7-b8ef-5cf3fc4a2490</v>
      </c>
      <c r="AA2244" s="33">
        <v>112</v>
      </c>
      <c r="AB2244" s="5"/>
      <c r="AC2244" s="5" t="s">
        <v>86</v>
      </c>
      <c r="AD2244" s="5"/>
      <c r="AE2244" s="5" t="s">
        <v>49</v>
      </c>
      <c r="AF2244" s="5"/>
      <c r="AG2244" s="5" t="s">
        <v>9729</v>
      </c>
      <c r="AH2244" s="5" t="s">
        <v>9730</v>
      </c>
    </row>
    <row r="2245" spans="2:34" ht="21" customHeight="1" outlineLevel="4" x14ac:dyDescent="0.2">
      <c r="B2245" s="42">
        <v>1762</v>
      </c>
      <c r="C2245" s="5" t="s">
        <v>9877</v>
      </c>
      <c r="D2245" s="5" t="s">
        <v>9878</v>
      </c>
      <c r="E2245" s="6" t="s">
        <v>9879</v>
      </c>
      <c r="F2245" s="10"/>
      <c r="G2245" s="11" t="s">
        <v>9880</v>
      </c>
      <c r="H2245" s="12">
        <v>20</v>
      </c>
      <c r="I2245" s="13" t="s">
        <v>41</v>
      </c>
      <c r="J2245" s="13"/>
      <c r="K2245" s="13"/>
      <c r="L2245" s="4">
        <v>4</v>
      </c>
      <c r="M2245" s="14">
        <f>179*(1-P3/100)</f>
        <v>179</v>
      </c>
      <c r="N2245" s="15"/>
      <c r="O2245" s="13">
        <f t="shared" si="100"/>
        <v>0</v>
      </c>
      <c r="P2245" s="22">
        <f>0.224*N2245</f>
        <v>0</v>
      </c>
      <c r="Q2245" s="23">
        <f>0.00047*N2245</f>
        <v>0</v>
      </c>
      <c r="R2245" s="24"/>
      <c r="S2245" s="25" t="s">
        <v>9881</v>
      </c>
      <c r="T2245" s="25" t="s">
        <v>43</v>
      </c>
      <c r="U2245" s="5" t="s">
        <v>9882</v>
      </c>
      <c r="V2245" s="5" t="s">
        <v>9883</v>
      </c>
      <c r="W2245" s="5" t="s">
        <v>2731</v>
      </c>
      <c r="X2245" s="5" t="s">
        <v>9737</v>
      </c>
      <c r="Y2245" s="5"/>
      <c r="Z2245" s="5" t="str">
        <f>HYPERLINK("https://knigipp.ru/api/getInfo/image/732536fe-a1e1-11e7-b8ef-5cf3fc4a2490")</f>
        <v>https://knigipp.ru/api/getInfo/image/732536fe-a1e1-11e7-b8ef-5cf3fc4a2490</v>
      </c>
      <c r="AA2245" s="33">
        <v>96</v>
      </c>
      <c r="AB2245" s="5"/>
      <c r="AC2245" s="5" t="s">
        <v>86</v>
      </c>
      <c r="AD2245" s="5"/>
      <c r="AE2245" s="5" t="s">
        <v>49</v>
      </c>
      <c r="AF2245" s="5"/>
      <c r="AG2245" s="5" t="s">
        <v>9729</v>
      </c>
      <c r="AH2245" s="5" t="s">
        <v>9730</v>
      </c>
    </row>
    <row r="2246" spans="2:34" ht="21" customHeight="1" outlineLevel="4" x14ac:dyDescent="0.2">
      <c r="B2246" s="42">
        <v>1763</v>
      </c>
      <c r="C2246" s="5" t="s">
        <v>9884</v>
      </c>
      <c r="D2246" s="5" t="s">
        <v>9885</v>
      </c>
      <c r="E2246" s="6" t="s">
        <v>9886</v>
      </c>
      <c r="F2246" s="10"/>
      <c r="G2246" s="11" t="s">
        <v>9887</v>
      </c>
      <c r="H2246" s="12">
        <v>20</v>
      </c>
      <c r="I2246" s="13" t="s">
        <v>41</v>
      </c>
      <c r="J2246" s="13"/>
      <c r="K2246" s="13"/>
      <c r="L2246" s="4">
        <v>3</v>
      </c>
      <c r="M2246" s="14">
        <f>219*(1-P3/100)</f>
        <v>219</v>
      </c>
      <c r="N2246" s="15"/>
      <c r="O2246" s="13">
        <f t="shared" si="100"/>
        <v>0</v>
      </c>
      <c r="P2246" s="22">
        <f>0.218*N2246</f>
        <v>0</v>
      </c>
      <c r="Q2246" s="23">
        <f>0.00037*N2246</f>
        <v>0</v>
      </c>
      <c r="R2246" s="24"/>
      <c r="S2246" s="25" t="s">
        <v>9888</v>
      </c>
      <c r="T2246" s="25" t="s">
        <v>43</v>
      </c>
      <c r="U2246" s="5" t="s">
        <v>9889</v>
      </c>
      <c r="V2246" s="5" t="s">
        <v>9890</v>
      </c>
      <c r="W2246" s="5" t="s">
        <v>2731</v>
      </c>
      <c r="X2246" s="5"/>
      <c r="Y2246" s="5"/>
      <c r="Z2246" s="5" t="str">
        <f>HYPERLINK("https://knigipp.ru/api/getInfo/image/2a67996c-7b51-11eb-a275-ac1f6b442184")</f>
        <v>https://knigipp.ru/api/getInfo/image/2a67996c-7b51-11eb-a275-ac1f6b442184</v>
      </c>
      <c r="AA2246" s="33">
        <v>176</v>
      </c>
      <c r="AB2246" s="5"/>
      <c r="AC2246" s="5" t="s">
        <v>86</v>
      </c>
      <c r="AD2246" s="5"/>
      <c r="AE2246" s="5" t="s">
        <v>49</v>
      </c>
      <c r="AF2246" s="5"/>
      <c r="AG2246" s="5" t="s">
        <v>9729</v>
      </c>
      <c r="AH2246" s="5" t="s">
        <v>9730</v>
      </c>
    </row>
    <row r="2247" spans="2:34" ht="21" customHeight="1" outlineLevel="4" x14ac:dyDescent="0.2">
      <c r="B2247" s="42">
        <v>1764</v>
      </c>
      <c r="C2247" s="5" t="s">
        <v>9891</v>
      </c>
      <c r="D2247" s="5" t="s">
        <v>9892</v>
      </c>
      <c r="E2247" s="6" t="s">
        <v>9893</v>
      </c>
      <c r="F2247" s="10"/>
      <c r="G2247" s="11" t="s">
        <v>9894</v>
      </c>
      <c r="H2247" s="12">
        <v>20</v>
      </c>
      <c r="I2247" s="13" t="s">
        <v>41</v>
      </c>
      <c r="J2247" s="13"/>
      <c r="K2247" s="13"/>
      <c r="L2247" s="4">
        <v>1</v>
      </c>
      <c r="M2247" s="14">
        <f>499*(1-P3/100)</f>
        <v>499</v>
      </c>
      <c r="N2247" s="15"/>
      <c r="O2247" s="13">
        <f t="shared" si="100"/>
        <v>0</v>
      </c>
      <c r="P2247" s="22">
        <f>0.387*N2247</f>
        <v>0</v>
      </c>
      <c r="Q2247" s="23">
        <f>0.00078*N2247</f>
        <v>0</v>
      </c>
      <c r="R2247" s="24"/>
      <c r="S2247" s="25" t="s">
        <v>9895</v>
      </c>
      <c r="T2247" s="25" t="s">
        <v>43</v>
      </c>
      <c r="U2247" s="5" t="s">
        <v>9896</v>
      </c>
      <c r="V2247" s="5" t="s">
        <v>9897</v>
      </c>
      <c r="W2247" s="5" t="s">
        <v>2731</v>
      </c>
      <c r="X2247" s="5"/>
      <c r="Y2247" s="5"/>
      <c r="Z2247" s="5" t="str">
        <f>HYPERLINK("https://knigipp.ru/api/getInfo/image/f61d5ffd-ae4d-11ef-a267-00155d82e908")</f>
        <v>https://knigipp.ru/api/getInfo/image/f61d5ffd-ae4d-11ef-a267-00155d82e908</v>
      </c>
      <c r="AA2247" s="33">
        <v>272</v>
      </c>
      <c r="AB2247" s="5"/>
      <c r="AC2247" s="5" t="s">
        <v>86</v>
      </c>
      <c r="AD2247" s="5"/>
      <c r="AE2247" s="5" t="s">
        <v>49</v>
      </c>
      <c r="AF2247" s="5"/>
      <c r="AG2247" s="5" t="s">
        <v>9729</v>
      </c>
      <c r="AH2247" s="5" t="s">
        <v>9898</v>
      </c>
    </row>
    <row r="2248" spans="2:34" ht="21" customHeight="1" outlineLevel="4" x14ac:dyDescent="0.2">
      <c r="B2248" s="42">
        <v>1765</v>
      </c>
      <c r="C2248" s="5" t="s">
        <v>9899</v>
      </c>
      <c r="D2248" s="5" t="s">
        <v>9900</v>
      </c>
      <c r="E2248" s="6" t="s">
        <v>9901</v>
      </c>
      <c r="F2248" s="10"/>
      <c r="G2248" s="11" t="s">
        <v>9902</v>
      </c>
      <c r="H2248" s="12">
        <v>20</v>
      </c>
      <c r="I2248" s="13" t="s">
        <v>41</v>
      </c>
      <c r="J2248" s="13"/>
      <c r="K2248" s="13"/>
      <c r="L2248" s="4">
        <v>4</v>
      </c>
      <c r="M2248" s="14">
        <f>179*(1-P3/100)</f>
        <v>179</v>
      </c>
      <c r="N2248" s="15"/>
      <c r="O2248" s="13">
        <f t="shared" si="100"/>
        <v>0</v>
      </c>
      <c r="P2248" s="22">
        <f>0.188*N2248</f>
        <v>0</v>
      </c>
      <c r="Q2248" s="23">
        <f>0.00042*N2248</f>
        <v>0</v>
      </c>
      <c r="R2248" s="24"/>
      <c r="S2248" s="25" t="s">
        <v>9903</v>
      </c>
      <c r="T2248" s="25" t="s">
        <v>43</v>
      </c>
      <c r="U2248" s="5" t="s">
        <v>9904</v>
      </c>
      <c r="V2248" s="5" t="s">
        <v>9905</v>
      </c>
      <c r="W2248" s="5" t="s">
        <v>2731</v>
      </c>
      <c r="X2248" s="5" t="s">
        <v>5721</v>
      </c>
      <c r="Y2248" s="5"/>
      <c r="Z2248" s="5" t="str">
        <f>HYPERLINK("https://knigipp.ru/api/getInfo/image/a45682fb-4ec5-11e8-b825-5cf3fc4a2490")</f>
        <v>https://knigipp.ru/api/getInfo/image/a45682fb-4ec5-11e8-b825-5cf3fc4a2490</v>
      </c>
      <c r="AA2248" s="33">
        <v>96</v>
      </c>
      <c r="AB2248" s="5"/>
      <c r="AC2248" s="5" t="s">
        <v>86</v>
      </c>
      <c r="AD2248" s="5"/>
      <c r="AE2248" s="5" t="s">
        <v>49</v>
      </c>
      <c r="AF2248" s="5"/>
      <c r="AG2248" s="5" t="s">
        <v>9729</v>
      </c>
      <c r="AH2248" s="5" t="s">
        <v>9730</v>
      </c>
    </row>
    <row r="2249" spans="2:34" ht="21" customHeight="1" outlineLevel="4" x14ac:dyDescent="0.2">
      <c r="B2249" s="42">
        <v>1766</v>
      </c>
      <c r="C2249" s="5" t="s">
        <v>9906</v>
      </c>
      <c r="D2249" s="5" t="s">
        <v>9907</v>
      </c>
      <c r="E2249" s="6" t="s">
        <v>9908</v>
      </c>
      <c r="F2249" s="10"/>
      <c r="G2249" s="11" t="s">
        <v>9909</v>
      </c>
      <c r="H2249" s="12">
        <v>20</v>
      </c>
      <c r="I2249" s="13" t="s">
        <v>41</v>
      </c>
      <c r="J2249" s="13"/>
      <c r="K2249" s="13"/>
      <c r="L2249" s="4">
        <v>3</v>
      </c>
      <c r="M2249" s="14">
        <f>219*(1-P3/100)</f>
        <v>219</v>
      </c>
      <c r="N2249" s="15"/>
      <c r="O2249" s="13">
        <f t="shared" si="100"/>
        <v>0</v>
      </c>
      <c r="P2249" s="22">
        <f>0.218*N2249</f>
        <v>0</v>
      </c>
      <c r="Q2249" s="23">
        <f>0.00037*N2249</f>
        <v>0</v>
      </c>
      <c r="R2249" s="24"/>
      <c r="S2249" s="25" t="s">
        <v>9910</v>
      </c>
      <c r="T2249" s="25" t="s">
        <v>43</v>
      </c>
      <c r="U2249" s="5" t="s">
        <v>9911</v>
      </c>
      <c r="V2249" s="5"/>
      <c r="W2249" s="5" t="s">
        <v>2731</v>
      </c>
      <c r="X2249" s="5" t="s">
        <v>9065</v>
      </c>
      <c r="Y2249" s="5"/>
      <c r="Z2249" s="5" t="str">
        <f>HYPERLINK("https://knigipp.ru/api/getInfo/image/253fd0a5-79a3-11e6-97ea-5cf3fc4a2490")</f>
        <v>https://knigipp.ru/api/getInfo/image/253fd0a5-79a3-11e6-97ea-5cf3fc4a2490</v>
      </c>
      <c r="AA2249" s="33">
        <v>128</v>
      </c>
      <c r="AB2249" s="5"/>
      <c r="AC2249" s="5" t="s">
        <v>86</v>
      </c>
      <c r="AD2249" s="5"/>
      <c r="AE2249" s="5" t="s">
        <v>49</v>
      </c>
      <c r="AF2249" s="5"/>
      <c r="AG2249" s="5" t="s">
        <v>9729</v>
      </c>
      <c r="AH2249" s="5" t="s">
        <v>9730</v>
      </c>
    </row>
    <row r="2250" spans="2:34" ht="21" customHeight="1" outlineLevel="4" x14ac:dyDescent="0.2">
      <c r="B2250" s="42">
        <v>1767</v>
      </c>
      <c r="C2250" s="5" t="s">
        <v>9912</v>
      </c>
      <c r="D2250" s="5" t="s">
        <v>9913</v>
      </c>
      <c r="E2250" s="6" t="s">
        <v>9914</v>
      </c>
      <c r="F2250" s="10"/>
      <c r="G2250" s="11" t="s">
        <v>9915</v>
      </c>
      <c r="H2250" s="12">
        <v>20</v>
      </c>
      <c r="I2250" s="13" t="s">
        <v>41</v>
      </c>
      <c r="J2250" s="13"/>
      <c r="K2250" s="13"/>
      <c r="L2250" s="4">
        <v>3</v>
      </c>
      <c r="M2250" s="14">
        <f>219*(1-P3/100)</f>
        <v>219</v>
      </c>
      <c r="N2250" s="15"/>
      <c r="O2250" s="13">
        <f t="shared" si="100"/>
        <v>0</v>
      </c>
      <c r="P2250" s="22">
        <f>0.222*N2250</f>
        <v>0</v>
      </c>
      <c r="Q2250" s="23">
        <f>0.00039*N2250</f>
        <v>0</v>
      </c>
      <c r="R2250" s="24"/>
      <c r="S2250" s="25" t="s">
        <v>9916</v>
      </c>
      <c r="T2250" s="25" t="s">
        <v>43</v>
      </c>
      <c r="U2250" s="5" t="s">
        <v>9917</v>
      </c>
      <c r="V2250" s="5" t="s">
        <v>9918</v>
      </c>
      <c r="W2250" s="5" t="s">
        <v>46</v>
      </c>
      <c r="X2250" s="5" t="s">
        <v>3900</v>
      </c>
      <c r="Y2250" s="5"/>
      <c r="Z2250" s="5" t="str">
        <f>HYPERLINK("https://knigipp.ru/api/getInfo/image/36c21c7b-79a3-11e6-97ea-5cf3fc4a2490")</f>
        <v>https://knigipp.ru/api/getInfo/image/36c21c7b-79a3-11e6-97ea-5cf3fc4a2490</v>
      </c>
      <c r="AA2250" s="33">
        <v>128</v>
      </c>
      <c r="AB2250" s="5"/>
      <c r="AC2250" s="5" t="s">
        <v>86</v>
      </c>
      <c r="AD2250" s="5"/>
      <c r="AE2250" s="5" t="s">
        <v>49</v>
      </c>
      <c r="AF2250" s="5"/>
      <c r="AG2250" s="5" t="s">
        <v>9729</v>
      </c>
      <c r="AH2250" s="5" t="s">
        <v>9730</v>
      </c>
    </row>
    <row r="2251" spans="2:34" ht="21" customHeight="1" outlineLevel="4" x14ac:dyDescent="0.2">
      <c r="B2251" s="42">
        <v>1768</v>
      </c>
      <c r="C2251" s="5" t="s">
        <v>9919</v>
      </c>
      <c r="D2251" s="5" t="s">
        <v>9920</v>
      </c>
      <c r="E2251" s="6" t="s">
        <v>9921</v>
      </c>
      <c r="F2251" s="10"/>
      <c r="G2251" s="11" t="s">
        <v>9922</v>
      </c>
      <c r="H2251" s="12">
        <v>20</v>
      </c>
      <c r="I2251" s="13" t="s">
        <v>261</v>
      </c>
      <c r="J2251" s="13"/>
      <c r="K2251" s="13"/>
      <c r="L2251" s="4">
        <v>4</v>
      </c>
      <c r="M2251" s="14">
        <f>179*(1-P3/100)</f>
        <v>179</v>
      </c>
      <c r="N2251" s="15"/>
      <c r="O2251" s="13">
        <f t="shared" si="100"/>
        <v>0</v>
      </c>
      <c r="P2251" s="22">
        <f>0.192*N2251</f>
        <v>0</v>
      </c>
      <c r="Q2251" s="23">
        <f>0.00047*N2251</f>
        <v>0</v>
      </c>
      <c r="R2251" s="24"/>
      <c r="S2251" s="25" t="s">
        <v>9923</v>
      </c>
      <c r="T2251" s="25" t="s">
        <v>43</v>
      </c>
      <c r="U2251" s="5" t="s">
        <v>9575</v>
      </c>
      <c r="V2251" s="5" t="s">
        <v>9924</v>
      </c>
      <c r="W2251" s="5" t="s">
        <v>46</v>
      </c>
      <c r="X2251" s="5" t="s">
        <v>9737</v>
      </c>
      <c r="Y2251" s="5"/>
      <c r="Z2251" s="5" t="str">
        <f>HYPERLINK("https://knigipp.ru/api/getInfo/image/ac607e29-a1e1-11e7-b8ef-5cf3fc4a2490")</f>
        <v>https://knigipp.ru/api/getInfo/image/ac607e29-a1e1-11e7-b8ef-5cf3fc4a2490</v>
      </c>
      <c r="AA2251" s="33">
        <v>96</v>
      </c>
      <c r="AB2251" s="5"/>
      <c r="AC2251" s="5" t="s">
        <v>86</v>
      </c>
      <c r="AD2251" s="5"/>
      <c r="AE2251" s="5" t="s">
        <v>49</v>
      </c>
      <c r="AF2251" s="5"/>
      <c r="AG2251" s="5" t="s">
        <v>9729</v>
      </c>
      <c r="AH2251" s="5" t="s">
        <v>9730</v>
      </c>
    </row>
    <row r="2252" spans="2:34" ht="21" customHeight="1" outlineLevel="4" x14ac:dyDescent="0.2">
      <c r="B2252" s="42">
        <v>1769</v>
      </c>
      <c r="C2252" s="5" t="s">
        <v>9925</v>
      </c>
      <c r="D2252" s="5" t="s">
        <v>9926</v>
      </c>
      <c r="E2252" s="6" t="s">
        <v>9927</v>
      </c>
      <c r="F2252" s="10"/>
      <c r="G2252" s="11" t="s">
        <v>9928</v>
      </c>
      <c r="H2252" s="12">
        <v>10</v>
      </c>
      <c r="I2252" s="13" t="s">
        <v>41</v>
      </c>
      <c r="J2252" s="13"/>
      <c r="K2252" s="13"/>
      <c r="L2252" s="4">
        <v>4</v>
      </c>
      <c r="M2252" s="14">
        <f>179*(1-P3/100)</f>
        <v>179</v>
      </c>
      <c r="N2252" s="15"/>
      <c r="O2252" s="13">
        <f t="shared" si="100"/>
        <v>0</v>
      </c>
      <c r="P2252" s="22">
        <f>0.202*N2252</f>
        <v>0</v>
      </c>
      <c r="Q2252" s="23">
        <f>0.00043*N2252</f>
        <v>0</v>
      </c>
      <c r="R2252" s="24"/>
      <c r="S2252" s="25" t="s">
        <v>9929</v>
      </c>
      <c r="T2252" s="25" t="s">
        <v>43</v>
      </c>
      <c r="U2252" s="5" t="s">
        <v>9930</v>
      </c>
      <c r="V2252" s="5" t="s">
        <v>9931</v>
      </c>
      <c r="W2252" s="5" t="s">
        <v>46</v>
      </c>
      <c r="X2252" s="5" t="s">
        <v>9766</v>
      </c>
      <c r="Y2252" s="5"/>
      <c r="Z2252" s="5" t="str">
        <f>HYPERLINK("https://knigipp.ru/api/getInfo/image/c45bc7eb-ccc1-11ee-a25a-00155d82e908")</f>
        <v>https://knigipp.ru/api/getInfo/image/c45bc7eb-ccc1-11ee-a25a-00155d82e908</v>
      </c>
      <c r="AA2252" s="33">
        <v>96</v>
      </c>
      <c r="AB2252" s="5" t="s">
        <v>47</v>
      </c>
      <c r="AC2252" s="5" t="s">
        <v>86</v>
      </c>
      <c r="AD2252" s="5"/>
      <c r="AE2252" s="5" t="s">
        <v>49</v>
      </c>
      <c r="AF2252" s="5"/>
      <c r="AG2252" s="5" t="s">
        <v>9729</v>
      </c>
      <c r="AH2252" s="5" t="s">
        <v>9767</v>
      </c>
    </row>
    <row r="2253" spans="2:34" ht="21" customHeight="1" outlineLevel="4" x14ac:dyDescent="0.2">
      <c r="B2253" s="42">
        <v>1770</v>
      </c>
      <c r="C2253" s="5" t="s">
        <v>9932</v>
      </c>
      <c r="D2253" s="5" t="s">
        <v>9933</v>
      </c>
      <c r="E2253" s="6" t="s">
        <v>9934</v>
      </c>
      <c r="F2253" s="10"/>
      <c r="G2253" s="11" t="s">
        <v>9935</v>
      </c>
      <c r="H2253" s="12">
        <v>20</v>
      </c>
      <c r="I2253" s="13" t="s">
        <v>41</v>
      </c>
      <c r="J2253" s="13"/>
      <c r="K2253" s="13"/>
      <c r="L2253" s="4">
        <v>4</v>
      </c>
      <c r="M2253" s="14">
        <f>287*(1-P3/100)</f>
        <v>287</v>
      </c>
      <c r="N2253" s="15"/>
      <c r="O2253" s="13">
        <f t="shared" si="100"/>
        <v>0</v>
      </c>
      <c r="P2253" s="22">
        <f>0.191*N2253</f>
        <v>0</v>
      </c>
      <c r="Q2253" s="30">
        <f>0.0004*N2253</f>
        <v>0</v>
      </c>
      <c r="R2253" s="24"/>
      <c r="S2253" s="25" t="s">
        <v>9936</v>
      </c>
      <c r="T2253" s="25" t="s">
        <v>43</v>
      </c>
      <c r="U2253" s="5" t="s">
        <v>8575</v>
      </c>
      <c r="V2253" s="5" t="s">
        <v>9937</v>
      </c>
      <c r="W2253" s="5" t="s">
        <v>2731</v>
      </c>
      <c r="X2253" s="5" t="s">
        <v>3900</v>
      </c>
      <c r="Y2253" s="5"/>
      <c r="Z2253" s="5" t="str">
        <f>HYPERLINK("https://knigipp.ru/api/getInfo/image/577abe98-79a3-11e6-97ea-5cf3fc4a2490")</f>
        <v>https://knigipp.ru/api/getInfo/image/577abe98-79a3-11e6-97ea-5cf3fc4a2490</v>
      </c>
      <c r="AA2253" s="33">
        <v>96</v>
      </c>
      <c r="AB2253" s="5"/>
      <c r="AC2253" s="5" t="s">
        <v>86</v>
      </c>
      <c r="AD2253" s="5"/>
      <c r="AE2253" s="5" t="s">
        <v>49</v>
      </c>
      <c r="AF2253" s="5"/>
      <c r="AG2253" s="5" t="s">
        <v>9729</v>
      </c>
      <c r="AH2253" s="5" t="s">
        <v>9730</v>
      </c>
    </row>
    <row r="2254" spans="2:34" ht="21" customHeight="1" outlineLevel="4" x14ac:dyDescent="0.2">
      <c r="B2254" s="42">
        <v>1771</v>
      </c>
      <c r="C2254" s="5" t="s">
        <v>9938</v>
      </c>
      <c r="D2254" s="5" t="s">
        <v>9939</v>
      </c>
      <c r="E2254" s="6" t="s">
        <v>9940</v>
      </c>
      <c r="F2254" s="10"/>
      <c r="G2254" s="11" t="s">
        <v>9941</v>
      </c>
      <c r="H2254" s="12">
        <v>20</v>
      </c>
      <c r="I2254" s="13" t="s">
        <v>41</v>
      </c>
      <c r="J2254" s="13"/>
      <c r="K2254" s="13"/>
      <c r="L2254" s="4">
        <v>4</v>
      </c>
      <c r="M2254" s="14">
        <f>179*(1-P3/100)</f>
        <v>179</v>
      </c>
      <c r="N2254" s="15"/>
      <c r="O2254" s="13">
        <f t="shared" si="100"/>
        <v>0</v>
      </c>
      <c r="P2254" s="22">
        <f>0.202*N2254</f>
        <v>0</v>
      </c>
      <c r="Q2254" s="23">
        <f>0.00038*N2254</f>
        <v>0</v>
      </c>
      <c r="R2254" s="24"/>
      <c r="S2254" s="25" t="s">
        <v>9942</v>
      </c>
      <c r="T2254" s="25" t="s">
        <v>43</v>
      </c>
      <c r="U2254" s="5" t="s">
        <v>9114</v>
      </c>
      <c r="V2254" s="5" t="s">
        <v>9943</v>
      </c>
      <c r="W2254" s="5" t="s">
        <v>2731</v>
      </c>
      <c r="X2254" s="5" t="s">
        <v>5721</v>
      </c>
      <c r="Y2254" s="5"/>
      <c r="Z2254" s="5" t="str">
        <f>HYPERLINK("https://knigipp.ru/api/getInfo/image/e0194136-4ec5-11e8-b825-5cf3fc4a2490")</f>
        <v>https://knigipp.ru/api/getInfo/image/e0194136-4ec5-11e8-b825-5cf3fc4a2490</v>
      </c>
      <c r="AA2254" s="33">
        <v>112</v>
      </c>
      <c r="AB2254" s="5"/>
      <c r="AC2254" s="5" t="s">
        <v>86</v>
      </c>
      <c r="AD2254" s="5"/>
      <c r="AE2254" s="5" t="s">
        <v>49</v>
      </c>
      <c r="AF2254" s="5"/>
      <c r="AG2254" s="5" t="s">
        <v>9729</v>
      </c>
      <c r="AH2254" s="5" t="s">
        <v>9730</v>
      </c>
    </row>
    <row r="2255" spans="2:34" ht="21" customHeight="1" outlineLevel="4" x14ac:dyDescent="0.2">
      <c r="B2255" s="42">
        <v>1772</v>
      </c>
      <c r="C2255" s="5" t="s">
        <v>9944</v>
      </c>
      <c r="D2255" s="5" t="s">
        <v>9945</v>
      </c>
      <c r="E2255" s="6" t="s">
        <v>9946</v>
      </c>
      <c r="F2255" s="10"/>
      <c r="G2255" s="11" t="s">
        <v>9947</v>
      </c>
      <c r="H2255" s="12">
        <v>20</v>
      </c>
      <c r="I2255" s="13" t="s">
        <v>41</v>
      </c>
      <c r="J2255" s="13"/>
      <c r="K2255" s="13"/>
      <c r="L2255" s="4">
        <v>2</v>
      </c>
      <c r="M2255" s="14">
        <f>347*(1-P3/100)</f>
        <v>347</v>
      </c>
      <c r="N2255" s="15"/>
      <c r="O2255" s="13">
        <f t="shared" si="100"/>
        <v>0</v>
      </c>
      <c r="P2255" s="22">
        <f>0.202*N2255</f>
        <v>0</v>
      </c>
      <c r="Q2255" s="23">
        <f>0.00024*N2255</f>
        <v>0</v>
      </c>
      <c r="R2255" s="24"/>
      <c r="S2255" s="25" t="s">
        <v>9948</v>
      </c>
      <c r="T2255" s="25" t="s">
        <v>43</v>
      </c>
      <c r="U2255" s="5" t="s">
        <v>9949</v>
      </c>
      <c r="V2255" s="5" t="s">
        <v>9950</v>
      </c>
      <c r="W2255" s="5" t="s">
        <v>46</v>
      </c>
      <c r="X2255" s="5"/>
      <c r="Y2255" s="5"/>
      <c r="Z2255" s="5" t="str">
        <f>HYPERLINK("https://knigipp.ru/api/getInfo/image/2a977cfb-84cc-11f0-a284-00155d82e908")</f>
        <v>https://knigipp.ru/api/getInfo/image/2a977cfb-84cc-11f0-a284-00155d82e908</v>
      </c>
      <c r="AA2255" s="33">
        <v>96</v>
      </c>
      <c r="AB2255" s="5" t="s">
        <v>47</v>
      </c>
      <c r="AC2255" s="5" t="s">
        <v>86</v>
      </c>
      <c r="AD2255" s="5"/>
      <c r="AE2255" s="5" t="s">
        <v>49</v>
      </c>
      <c r="AF2255" s="5"/>
      <c r="AG2255" s="5" t="s">
        <v>9729</v>
      </c>
      <c r="AH2255" s="5" t="s">
        <v>9730</v>
      </c>
    </row>
    <row r="2256" spans="2:34" ht="21" customHeight="1" outlineLevel="4" x14ac:dyDescent="0.2">
      <c r="B2256" s="42">
        <v>1773</v>
      </c>
      <c r="C2256" s="5" t="s">
        <v>9951</v>
      </c>
      <c r="D2256" s="5" t="s">
        <v>9952</v>
      </c>
      <c r="E2256" s="6" t="s">
        <v>9953</v>
      </c>
      <c r="F2256" s="10"/>
      <c r="G2256" s="11" t="s">
        <v>9954</v>
      </c>
      <c r="H2256" s="12">
        <v>20</v>
      </c>
      <c r="I2256" s="13" t="s">
        <v>41</v>
      </c>
      <c r="J2256" s="13"/>
      <c r="K2256" s="13"/>
      <c r="L2256" s="4">
        <v>2</v>
      </c>
      <c r="M2256" s="14">
        <f>347*(1-P3/100)</f>
        <v>347</v>
      </c>
      <c r="N2256" s="15"/>
      <c r="O2256" s="13">
        <f t="shared" si="100"/>
        <v>0</v>
      </c>
      <c r="P2256" s="22">
        <f>0.218*N2256</f>
        <v>0</v>
      </c>
      <c r="Q2256" s="23">
        <f>0.00037*N2256</f>
        <v>0</v>
      </c>
      <c r="R2256" s="24"/>
      <c r="S2256" s="25" t="s">
        <v>9955</v>
      </c>
      <c r="T2256" s="25" t="s">
        <v>43</v>
      </c>
      <c r="U2256" s="5" t="s">
        <v>4057</v>
      </c>
      <c r="V2256" s="5" t="s">
        <v>9956</v>
      </c>
      <c r="W2256" s="5" t="s">
        <v>2731</v>
      </c>
      <c r="X2256" s="5"/>
      <c r="Y2256" s="5"/>
      <c r="Z2256" s="5" t="str">
        <f>HYPERLINK("https://knigipp.ru/api/getInfo/image/621ab8bf-f5c9-11ef-a274-00155d82e908")</f>
        <v>https://knigipp.ru/api/getInfo/image/621ab8bf-f5c9-11ef-a274-00155d82e908</v>
      </c>
      <c r="AA2256" s="33">
        <v>128</v>
      </c>
      <c r="AB2256" s="5"/>
      <c r="AC2256" s="5" t="s">
        <v>86</v>
      </c>
      <c r="AD2256" s="5"/>
      <c r="AE2256" s="5" t="s">
        <v>49</v>
      </c>
      <c r="AF2256" s="5"/>
      <c r="AG2256" s="5" t="s">
        <v>9729</v>
      </c>
      <c r="AH2256" s="5" t="s">
        <v>306</v>
      </c>
    </row>
    <row r="2257" spans="2:34" ht="21" customHeight="1" outlineLevel="4" x14ac:dyDescent="0.2">
      <c r="B2257" s="42">
        <v>1774</v>
      </c>
      <c r="C2257" s="5" t="s">
        <v>9957</v>
      </c>
      <c r="D2257" s="5" t="s">
        <v>9958</v>
      </c>
      <c r="E2257" s="6" t="s">
        <v>9959</v>
      </c>
      <c r="F2257" s="10"/>
      <c r="G2257" s="11" t="s">
        <v>9960</v>
      </c>
      <c r="H2257" s="12">
        <v>20</v>
      </c>
      <c r="I2257" s="13" t="s">
        <v>41</v>
      </c>
      <c r="J2257" s="13"/>
      <c r="K2257" s="13"/>
      <c r="L2257" s="4">
        <v>3</v>
      </c>
      <c r="M2257" s="14">
        <f>219*(1-P3/100)</f>
        <v>219</v>
      </c>
      <c r="N2257" s="15"/>
      <c r="O2257" s="13">
        <f t="shared" si="100"/>
        <v>0</v>
      </c>
      <c r="P2257" s="32">
        <f>0.22*N2257</f>
        <v>0</v>
      </c>
      <c r="Q2257" s="23">
        <f>0.00047*N2257</f>
        <v>0</v>
      </c>
      <c r="R2257" s="24"/>
      <c r="S2257" s="25" t="s">
        <v>9961</v>
      </c>
      <c r="T2257" s="25" t="s">
        <v>43</v>
      </c>
      <c r="U2257" s="5" t="s">
        <v>9268</v>
      </c>
      <c r="V2257" s="5" t="s">
        <v>9962</v>
      </c>
      <c r="W2257" s="5" t="s">
        <v>46</v>
      </c>
      <c r="X2257" s="5"/>
      <c r="Y2257" s="5"/>
      <c r="Z2257" s="5" t="str">
        <f>HYPERLINK("https://knigipp.ru/api/getInfo/image/acd16c0b-f39a-11eb-a20d-ac1f6b442185")</f>
        <v>https://knigipp.ru/api/getInfo/image/acd16c0b-f39a-11eb-a20d-ac1f6b442185</v>
      </c>
      <c r="AA2257" s="33">
        <v>128</v>
      </c>
      <c r="AB2257" s="5"/>
      <c r="AC2257" s="5" t="s">
        <v>86</v>
      </c>
      <c r="AD2257" s="5"/>
      <c r="AE2257" s="5" t="s">
        <v>49</v>
      </c>
      <c r="AF2257" s="5"/>
      <c r="AG2257" s="5" t="s">
        <v>9729</v>
      </c>
      <c r="AH2257" s="5" t="s">
        <v>9730</v>
      </c>
    </row>
    <row r="2258" spans="2:34" ht="21" customHeight="1" outlineLevel="4" x14ac:dyDescent="0.2">
      <c r="B2258" s="42">
        <v>1775</v>
      </c>
      <c r="C2258" s="5" t="s">
        <v>9963</v>
      </c>
      <c r="D2258" s="5" t="s">
        <v>9964</v>
      </c>
      <c r="E2258" s="6" t="s">
        <v>9965</v>
      </c>
      <c r="F2258" s="10"/>
      <c r="G2258" s="11" t="s">
        <v>9966</v>
      </c>
      <c r="H2258" s="12">
        <v>20</v>
      </c>
      <c r="I2258" s="13" t="s">
        <v>41</v>
      </c>
      <c r="J2258" s="13"/>
      <c r="K2258" s="13"/>
      <c r="L2258" s="4">
        <v>3</v>
      </c>
      <c r="M2258" s="14">
        <f>219*(1-P3/100)</f>
        <v>219</v>
      </c>
      <c r="N2258" s="15"/>
      <c r="O2258" s="13">
        <f t="shared" si="100"/>
        <v>0</v>
      </c>
      <c r="P2258" s="22">
        <f>0.218*N2258</f>
        <v>0</v>
      </c>
      <c r="Q2258" s="23">
        <f>0.00037*N2258</f>
        <v>0</v>
      </c>
      <c r="R2258" s="24"/>
      <c r="S2258" s="25" t="s">
        <v>9967</v>
      </c>
      <c r="T2258" s="25" t="s">
        <v>43</v>
      </c>
      <c r="U2258" s="5"/>
      <c r="V2258" s="5" t="s">
        <v>9968</v>
      </c>
      <c r="W2258" s="5" t="s">
        <v>46</v>
      </c>
      <c r="X2258" s="5" t="s">
        <v>7614</v>
      </c>
      <c r="Y2258" s="5"/>
      <c r="Z2258" s="5" t="str">
        <f>HYPERLINK("https://knigipp.ru/api/getInfo/image/69efd77b-79a3-11e6-97ea-5cf3fc4a2490")</f>
        <v>https://knigipp.ru/api/getInfo/image/69efd77b-79a3-11e6-97ea-5cf3fc4a2490</v>
      </c>
      <c r="AA2258" s="33">
        <v>128</v>
      </c>
      <c r="AB2258" s="5"/>
      <c r="AC2258" s="5" t="s">
        <v>86</v>
      </c>
      <c r="AD2258" s="5"/>
      <c r="AE2258" s="5" t="s">
        <v>49</v>
      </c>
      <c r="AF2258" s="5"/>
      <c r="AG2258" s="5" t="s">
        <v>9729</v>
      </c>
      <c r="AH2258" s="5" t="s">
        <v>9730</v>
      </c>
    </row>
    <row r="2259" spans="2:34" ht="21" customHeight="1" outlineLevel="4" x14ac:dyDescent="0.2">
      <c r="B2259" s="42">
        <v>1776</v>
      </c>
      <c r="C2259" s="5" t="s">
        <v>9969</v>
      </c>
      <c r="D2259" s="5" t="s">
        <v>9970</v>
      </c>
      <c r="E2259" s="6" t="s">
        <v>9971</v>
      </c>
      <c r="F2259" s="10"/>
      <c r="G2259" s="11" t="s">
        <v>9972</v>
      </c>
      <c r="H2259" s="12">
        <v>20</v>
      </c>
      <c r="I2259" s="13" t="s">
        <v>41</v>
      </c>
      <c r="J2259" s="13"/>
      <c r="K2259" s="13"/>
      <c r="L2259" s="4">
        <v>3</v>
      </c>
      <c r="M2259" s="14">
        <f>219*(1-P3/100)</f>
        <v>219</v>
      </c>
      <c r="N2259" s="15"/>
      <c r="O2259" s="13">
        <f t="shared" si="100"/>
        <v>0</v>
      </c>
      <c r="P2259" s="22">
        <f>0.218*N2259</f>
        <v>0</v>
      </c>
      <c r="Q2259" s="23">
        <f>0.00037*N2259</f>
        <v>0</v>
      </c>
      <c r="R2259" s="24"/>
      <c r="S2259" s="25" t="s">
        <v>9973</v>
      </c>
      <c r="T2259" s="25" t="s">
        <v>43</v>
      </c>
      <c r="U2259" s="5" t="s">
        <v>9531</v>
      </c>
      <c r="V2259" s="5" t="s">
        <v>9974</v>
      </c>
      <c r="W2259" s="5" t="s">
        <v>46</v>
      </c>
      <c r="X2259" s="5" t="s">
        <v>2560</v>
      </c>
      <c r="Y2259" s="5"/>
      <c r="Z2259" s="5" t="str">
        <f>HYPERLINK("https://knigipp.ru/api/getInfo/image/7a972418-79a3-11e6-97ea-5cf3fc4a2490")</f>
        <v>https://knigipp.ru/api/getInfo/image/7a972418-79a3-11e6-97ea-5cf3fc4a2490</v>
      </c>
      <c r="AA2259" s="33">
        <v>128</v>
      </c>
      <c r="AB2259" s="5"/>
      <c r="AC2259" s="5" t="s">
        <v>86</v>
      </c>
      <c r="AD2259" s="5"/>
      <c r="AE2259" s="5" t="s">
        <v>49</v>
      </c>
      <c r="AF2259" s="5"/>
      <c r="AG2259" s="5" t="s">
        <v>9729</v>
      </c>
      <c r="AH2259" s="5" t="s">
        <v>9730</v>
      </c>
    </row>
    <row r="2260" spans="2:34" ht="21" customHeight="1" outlineLevel="4" x14ac:dyDescent="0.2">
      <c r="B2260" s="42">
        <v>1777</v>
      </c>
      <c r="C2260" s="5" t="s">
        <v>9975</v>
      </c>
      <c r="D2260" s="5" t="s">
        <v>9976</v>
      </c>
      <c r="E2260" s="6" t="s">
        <v>9977</v>
      </c>
      <c r="F2260" s="10"/>
      <c r="G2260" s="11" t="s">
        <v>9978</v>
      </c>
      <c r="H2260" s="12">
        <v>20</v>
      </c>
      <c r="I2260" s="13" t="s">
        <v>41</v>
      </c>
      <c r="J2260" s="13"/>
      <c r="K2260" s="13"/>
      <c r="L2260" s="4">
        <v>3</v>
      </c>
      <c r="M2260" s="14">
        <f>219*(1-P3/100)</f>
        <v>219</v>
      </c>
      <c r="N2260" s="15"/>
      <c r="O2260" s="13">
        <f t="shared" si="100"/>
        <v>0</v>
      </c>
      <c r="P2260" s="22">
        <f>0.202*N2260</f>
        <v>0</v>
      </c>
      <c r="Q2260" s="23">
        <f>0.00038*N2260</f>
        <v>0</v>
      </c>
      <c r="R2260" s="24"/>
      <c r="S2260" s="25" t="s">
        <v>9979</v>
      </c>
      <c r="T2260" s="25" t="s">
        <v>43</v>
      </c>
      <c r="U2260" s="5" t="s">
        <v>9114</v>
      </c>
      <c r="V2260" s="5" t="s">
        <v>9980</v>
      </c>
      <c r="W2260" s="5" t="s">
        <v>46</v>
      </c>
      <c r="X2260" s="5" t="s">
        <v>2560</v>
      </c>
      <c r="Y2260" s="5"/>
      <c r="Z2260" s="5" t="str">
        <f>HYPERLINK("https://knigipp.ru/api/getInfo/image/873c7cb9-79a3-11e6-97ea-5cf3fc4a2490")</f>
        <v>https://knigipp.ru/api/getInfo/image/873c7cb9-79a3-11e6-97ea-5cf3fc4a2490</v>
      </c>
      <c r="AA2260" s="33">
        <v>128</v>
      </c>
      <c r="AB2260" s="5"/>
      <c r="AC2260" s="5" t="s">
        <v>86</v>
      </c>
      <c r="AD2260" s="5"/>
      <c r="AE2260" s="5" t="s">
        <v>49</v>
      </c>
      <c r="AF2260" s="5"/>
      <c r="AG2260" s="5" t="s">
        <v>9729</v>
      </c>
      <c r="AH2260" s="5" t="s">
        <v>9730</v>
      </c>
    </row>
    <row r="2261" spans="2:34" ht="21" customHeight="1" outlineLevel="4" x14ac:dyDescent="0.2">
      <c r="B2261" s="42">
        <v>1778</v>
      </c>
      <c r="C2261" s="5" t="s">
        <v>9981</v>
      </c>
      <c r="D2261" s="5" t="s">
        <v>9982</v>
      </c>
      <c r="E2261" s="6" t="s">
        <v>9983</v>
      </c>
      <c r="F2261" s="10"/>
      <c r="G2261" s="11" t="s">
        <v>9984</v>
      </c>
      <c r="H2261" s="12">
        <v>20</v>
      </c>
      <c r="I2261" s="13" t="s">
        <v>41</v>
      </c>
      <c r="J2261" s="13"/>
      <c r="K2261" s="13"/>
      <c r="L2261" s="4">
        <v>3</v>
      </c>
      <c r="M2261" s="14">
        <f>219*(1-P3/100)</f>
        <v>219</v>
      </c>
      <c r="N2261" s="15"/>
      <c r="O2261" s="13">
        <f t="shared" si="100"/>
        <v>0</v>
      </c>
      <c r="P2261" s="22">
        <f>0.175*N2261</f>
        <v>0</v>
      </c>
      <c r="Q2261" s="23">
        <f>0.00037*N2261</f>
        <v>0</v>
      </c>
      <c r="R2261" s="24"/>
      <c r="S2261" s="25" t="s">
        <v>9985</v>
      </c>
      <c r="T2261" s="25" t="s">
        <v>43</v>
      </c>
      <c r="U2261" s="5" t="s">
        <v>9889</v>
      </c>
      <c r="V2261" s="5"/>
      <c r="W2261" s="5" t="s">
        <v>2731</v>
      </c>
      <c r="X2261" s="5" t="s">
        <v>9737</v>
      </c>
      <c r="Y2261" s="5"/>
      <c r="Z2261" s="5" t="str">
        <f>HYPERLINK("https://knigipp.ru/api/getInfo/image/5f5c8cba-a1e2-11e7-b8ef-5cf3fc4a2490")</f>
        <v>https://knigipp.ru/api/getInfo/image/5f5c8cba-a1e2-11e7-b8ef-5cf3fc4a2490</v>
      </c>
      <c r="AA2261" s="33">
        <v>96</v>
      </c>
      <c r="AB2261" s="5"/>
      <c r="AC2261" s="5" t="s">
        <v>86</v>
      </c>
      <c r="AD2261" s="5"/>
      <c r="AE2261" s="5" t="s">
        <v>49</v>
      </c>
      <c r="AF2261" s="5"/>
      <c r="AG2261" s="5" t="s">
        <v>9729</v>
      </c>
      <c r="AH2261" s="5" t="s">
        <v>9730</v>
      </c>
    </row>
    <row r="2262" spans="2:34" ht="21" customHeight="1" outlineLevel="4" x14ac:dyDescent="0.2">
      <c r="B2262" s="42">
        <v>1779</v>
      </c>
      <c r="C2262" s="5" t="s">
        <v>9986</v>
      </c>
      <c r="D2262" s="5" t="s">
        <v>9987</v>
      </c>
      <c r="E2262" s="6" t="s">
        <v>9988</v>
      </c>
      <c r="F2262" s="10"/>
      <c r="G2262" s="11" t="s">
        <v>9989</v>
      </c>
      <c r="H2262" s="12">
        <v>20</v>
      </c>
      <c r="I2262" s="13" t="s">
        <v>41</v>
      </c>
      <c r="J2262" s="13"/>
      <c r="K2262" s="13"/>
      <c r="L2262" s="4">
        <v>4</v>
      </c>
      <c r="M2262" s="14">
        <f>179*(1-P3/100)</f>
        <v>179</v>
      </c>
      <c r="N2262" s="15"/>
      <c r="O2262" s="13">
        <f t="shared" si="100"/>
        <v>0</v>
      </c>
      <c r="P2262" s="22">
        <f>0.188*N2262</f>
        <v>0</v>
      </c>
      <c r="Q2262" s="23">
        <f>0.00044*N2262</f>
        <v>0</v>
      </c>
      <c r="R2262" s="24"/>
      <c r="S2262" s="25" t="s">
        <v>9990</v>
      </c>
      <c r="T2262" s="25" t="s">
        <v>43</v>
      </c>
      <c r="U2262" s="5" t="s">
        <v>9991</v>
      </c>
      <c r="V2262" s="5" t="s">
        <v>9992</v>
      </c>
      <c r="W2262" s="5" t="s">
        <v>2731</v>
      </c>
      <c r="X2262" s="5" t="s">
        <v>5721</v>
      </c>
      <c r="Y2262" s="5"/>
      <c r="Z2262" s="5" t="str">
        <f>HYPERLINK("https://knigipp.ru/api/getInfo/image/7d3a9b4d-4ec5-11e8-b825-5cf3fc4a2490")</f>
        <v>https://knigipp.ru/api/getInfo/image/7d3a9b4d-4ec5-11e8-b825-5cf3fc4a2490</v>
      </c>
      <c r="AA2262" s="33">
        <v>96</v>
      </c>
      <c r="AB2262" s="5"/>
      <c r="AC2262" s="5" t="s">
        <v>86</v>
      </c>
      <c r="AD2262" s="5"/>
      <c r="AE2262" s="5" t="s">
        <v>49</v>
      </c>
      <c r="AF2262" s="5"/>
      <c r="AG2262" s="5" t="s">
        <v>9729</v>
      </c>
      <c r="AH2262" s="5" t="s">
        <v>9730</v>
      </c>
    </row>
    <row r="2263" spans="2:34" ht="21" customHeight="1" outlineLevel="4" x14ac:dyDescent="0.2">
      <c r="B2263" s="42">
        <v>1780</v>
      </c>
      <c r="C2263" s="5" t="s">
        <v>9993</v>
      </c>
      <c r="D2263" s="5" t="s">
        <v>9994</v>
      </c>
      <c r="E2263" s="6" t="s">
        <v>9995</v>
      </c>
      <c r="F2263" s="10"/>
      <c r="G2263" s="11" t="s">
        <v>9996</v>
      </c>
      <c r="H2263" s="12">
        <v>20</v>
      </c>
      <c r="I2263" s="13" t="s">
        <v>41</v>
      </c>
      <c r="J2263" s="13"/>
      <c r="K2263" s="13"/>
      <c r="L2263" s="4">
        <v>3</v>
      </c>
      <c r="M2263" s="14">
        <f>219*(1-P3/100)</f>
        <v>219</v>
      </c>
      <c r="N2263" s="15"/>
      <c r="O2263" s="13">
        <f t="shared" si="100"/>
        <v>0</v>
      </c>
      <c r="P2263" s="22">
        <f>0.223*N2263</f>
        <v>0</v>
      </c>
      <c r="Q2263" s="23">
        <f>0.00052*N2263</f>
        <v>0</v>
      </c>
      <c r="R2263" s="24"/>
      <c r="S2263" s="25" t="s">
        <v>9997</v>
      </c>
      <c r="T2263" s="25" t="s">
        <v>43</v>
      </c>
      <c r="U2263" s="5" t="s">
        <v>9998</v>
      </c>
      <c r="V2263" s="5" t="s">
        <v>9999</v>
      </c>
      <c r="W2263" s="5" t="s">
        <v>2731</v>
      </c>
      <c r="X2263" s="5" t="s">
        <v>7614</v>
      </c>
      <c r="Y2263" s="5"/>
      <c r="Z2263" s="5" t="str">
        <f>HYPERLINK("https://knigipp.ru/api/getInfo/image/3eb5815e-79a5-11e6-97ea-5cf3fc4a2490")</f>
        <v>https://knigipp.ru/api/getInfo/image/3eb5815e-79a5-11e6-97ea-5cf3fc4a2490</v>
      </c>
      <c r="AA2263" s="33">
        <v>128</v>
      </c>
      <c r="AB2263" s="5"/>
      <c r="AC2263" s="5" t="s">
        <v>86</v>
      </c>
      <c r="AD2263" s="5"/>
      <c r="AE2263" s="5" t="s">
        <v>49</v>
      </c>
      <c r="AF2263" s="5"/>
      <c r="AG2263" s="5" t="s">
        <v>9729</v>
      </c>
      <c r="AH2263" s="5" t="s">
        <v>9730</v>
      </c>
    </row>
    <row r="2264" spans="2:34" ht="21" customHeight="1" outlineLevel="4" x14ac:dyDescent="0.2">
      <c r="B2264" s="42">
        <v>1781</v>
      </c>
      <c r="C2264" s="5" t="s">
        <v>10000</v>
      </c>
      <c r="D2264" s="5" t="s">
        <v>10001</v>
      </c>
      <c r="E2264" s="6" t="s">
        <v>10002</v>
      </c>
      <c r="F2264" s="10"/>
      <c r="G2264" s="11" t="s">
        <v>10003</v>
      </c>
      <c r="H2264" s="12">
        <v>20</v>
      </c>
      <c r="I2264" s="13" t="s">
        <v>41</v>
      </c>
      <c r="J2264" s="13"/>
      <c r="K2264" s="13"/>
      <c r="L2264" s="4">
        <v>4</v>
      </c>
      <c r="M2264" s="14">
        <f>287*(1-P3/100)</f>
        <v>287</v>
      </c>
      <c r="N2264" s="15"/>
      <c r="O2264" s="13">
        <f t="shared" si="100"/>
        <v>0</v>
      </c>
      <c r="P2264" s="22">
        <f>0.203*N2264</f>
        <v>0</v>
      </c>
      <c r="Q2264" s="23">
        <f>0.00124*N2264</f>
        <v>0</v>
      </c>
      <c r="R2264" s="24"/>
      <c r="S2264" s="25" t="s">
        <v>10004</v>
      </c>
      <c r="T2264" s="25" t="s">
        <v>43</v>
      </c>
      <c r="U2264" s="5" t="s">
        <v>10005</v>
      </c>
      <c r="V2264" s="5" t="s">
        <v>10006</v>
      </c>
      <c r="W2264" s="5" t="s">
        <v>2731</v>
      </c>
      <c r="X2264" s="5" t="s">
        <v>9065</v>
      </c>
      <c r="Y2264" s="5"/>
      <c r="Z2264" s="5" t="str">
        <f>HYPERLINK("https://knigipp.ru/api/getInfo/image/5628eaab-79a5-11e6-97ea-5cf3fc4a2490")</f>
        <v>https://knigipp.ru/api/getInfo/image/5628eaab-79a5-11e6-97ea-5cf3fc4a2490</v>
      </c>
      <c r="AA2264" s="33">
        <v>112</v>
      </c>
      <c r="AB2264" s="5"/>
      <c r="AC2264" s="5" t="s">
        <v>86</v>
      </c>
      <c r="AD2264" s="5"/>
      <c r="AE2264" s="5" t="s">
        <v>49</v>
      </c>
      <c r="AF2264" s="5"/>
      <c r="AG2264" s="5" t="s">
        <v>9729</v>
      </c>
      <c r="AH2264" s="5" t="s">
        <v>9730</v>
      </c>
    </row>
    <row r="2265" spans="2:34" ht="21" customHeight="1" outlineLevel="4" x14ac:dyDescent="0.2">
      <c r="B2265" s="42">
        <v>1782</v>
      </c>
      <c r="C2265" s="5" t="s">
        <v>10007</v>
      </c>
      <c r="D2265" s="5" t="s">
        <v>10008</v>
      </c>
      <c r="E2265" s="6" t="s">
        <v>10009</v>
      </c>
      <c r="F2265" s="10"/>
      <c r="G2265" s="11" t="s">
        <v>10010</v>
      </c>
      <c r="H2265" s="12">
        <v>20</v>
      </c>
      <c r="I2265" s="13" t="s">
        <v>41</v>
      </c>
      <c r="J2265" s="13"/>
      <c r="K2265" s="13"/>
      <c r="L2265" s="4">
        <v>4</v>
      </c>
      <c r="M2265" s="14">
        <f>179*(1-P3/100)</f>
        <v>179</v>
      </c>
      <c r="N2265" s="15"/>
      <c r="O2265" s="13">
        <f t="shared" si="100"/>
        <v>0</v>
      </c>
      <c r="P2265" s="22">
        <f>0.187*N2265</f>
        <v>0</v>
      </c>
      <c r="Q2265" s="23">
        <f>0.00039*N2265</f>
        <v>0</v>
      </c>
      <c r="R2265" s="24"/>
      <c r="S2265" s="25" t="s">
        <v>10011</v>
      </c>
      <c r="T2265" s="25" t="s">
        <v>43</v>
      </c>
      <c r="U2265" s="5" t="s">
        <v>9626</v>
      </c>
      <c r="V2265" s="5" t="s">
        <v>10012</v>
      </c>
      <c r="W2265" s="5" t="s">
        <v>2731</v>
      </c>
      <c r="X2265" s="5" t="s">
        <v>9737</v>
      </c>
      <c r="Y2265" s="5"/>
      <c r="Z2265" s="5" t="str">
        <f>HYPERLINK("https://knigipp.ru/api/getInfo/image/c0820790-a1e1-11e7-b8ef-5cf3fc4a2490")</f>
        <v>https://knigipp.ru/api/getInfo/image/c0820790-a1e1-11e7-b8ef-5cf3fc4a2490</v>
      </c>
      <c r="AA2265" s="33">
        <v>96</v>
      </c>
      <c r="AB2265" s="5"/>
      <c r="AC2265" s="5" t="s">
        <v>86</v>
      </c>
      <c r="AD2265" s="5"/>
      <c r="AE2265" s="5" t="s">
        <v>49</v>
      </c>
      <c r="AF2265" s="5"/>
      <c r="AG2265" s="5" t="s">
        <v>9729</v>
      </c>
      <c r="AH2265" s="5" t="s">
        <v>9730</v>
      </c>
    </row>
    <row r="2266" spans="2:34" ht="21" customHeight="1" outlineLevel="4" x14ac:dyDescent="0.2">
      <c r="B2266" s="42">
        <v>1783</v>
      </c>
      <c r="C2266" s="5" t="s">
        <v>10013</v>
      </c>
      <c r="D2266" s="5" t="s">
        <v>10014</v>
      </c>
      <c r="E2266" s="6" t="s">
        <v>10015</v>
      </c>
      <c r="F2266" s="10"/>
      <c r="G2266" s="11" t="s">
        <v>10016</v>
      </c>
      <c r="H2266" s="12">
        <v>20</v>
      </c>
      <c r="I2266" s="13" t="s">
        <v>41</v>
      </c>
      <c r="J2266" s="13"/>
      <c r="K2266" s="13"/>
      <c r="L2266" s="4">
        <v>3</v>
      </c>
      <c r="M2266" s="14">
        <f>219*(1-P3/100)</f>
        <v>219</v>
      </c>
      <c r="N2266" s="15"/>
      <c r="O2266" s="13">
        <f t="shared" si="100"/>
        <v>0</v>
      </c>
      <c r="P2266" s="22">
        <f>0.218*N2266</f>
        <v>0</v>
      </c>
      <c r="Q2266" s="23">
        <f>0.00037*N2266</f>
        <v>0</v>
      </c>
      <c r="R2266" s="24"/>
      <c r="S2266" s="25" t="s">
        <v>10017</v>
      </c>
      <c r="T2266" s="25" t="s">
        <v>43</v>
      </c>
      <c r="U2266" s="5" t="s">
        <v>10018</v>
      </c>
      <c r="V2266" s="5" t="s">
        <v>10019</v>
      </c>
      <c r="W2266" s="5" t="s">
        <v>46</v>
      </c>
      <c r="X2266" s="5" t="s">
        <v>10020</v>
      </c>
      <c r="Y2266" s="5"/>
      <c r="Z2266" s="5" t="str">
        <f>HYPERLINK("https://knigipp.ru/api/getInfo/image/757a2924-79a5-11e6-97ea-5cf3fc4a2490")</f>
        <v>https://knigipp.ru/api/getInfo/image/757a2924-79a5-11e6-97ea-5cf3fc4a2490</v>
      </c>
      <c r="AA2266" s="33">
        <v>128</v>
      </c>
      <c r="AB2266" s="5"/>
      <c r="AC2266" s="5" t="s">
        <v>86</v>
      </c>
      <c r="AD2266" s="5"/>
      <c r="AE2266" s="5" t="s">
        <v>49</v>
      </c>
      <c r="AF2266" s="5"/>
      <c r="AG2266" s="5" t="s">
        <v>9729</v>
      </c>
      <c r="AH2266" s="5" t="s">
        <v>9730</v>
      </c>
    </row>
    <row r="2267" spans="2:34" ht="21" customHeight="1" outlineLevel="4" x14ac:dyDescent="0.2">
      <c r="B2267" s="42">
        <v>1784</v>
      </c>
      <c r="C2267" s="5" t="s">
        <v>10021</v>
      </c>
      <c r="D2267" s="5" t="s">
        <v>10022</v>
      </c>
      <c r="E2267" s="6" t="s">
        <v>10023</v>
      </c>
      <c r="F2267" s="10"/>
      <c r="G2267" s="11" t="s">
        <v>10024</v>
      </c>
      <c r="H2267" s="12">
        <v>20</v>
      </c>
      <c r="I2267" s="13" t="s">
        <v>41</v>
      </c>
      <c r="J2267" s="13"/>
      <c r="K2267" s="13"/>
      <c r="L2267" s="4">
        <v>3</v>
      </c>
      <c r="M2267" s="14">
        <f>219*(1-P3/100)</f>
        <v>219</v>
      </c>
      <c r="N2267" s="15"/>
      <c r="O2267" s="13">
        <f t="shared" si="100"/>
        <v>0</v>
      </c>
      <c r="P2267" s="22">
        <f>0.268*N2267</f>
        <v>0</v>
      </c>
      <c r="Q2267" s="23">
        <f>0.00051*N2267</f>
        <v>0</v>
      </c>
      <c r="R2267" s="24"/>
      <c r="S2267" s="25" t="s">
        <v>10025</v>
      </c>
      <c r="T2267" s="25" t="s">
        <v>43</v>
      </c>
      <c r="U2267" s="5" t="s">
        <v>9209</v>
      </c>
      <c r="V2267" s="5" t="s">
        <v>10026</v>
      </c>
      <c r="W2267" s="5" t="s">
        <v>2731</v>
      </c>
      <c r="X2267" s="5"/>
      <c r="Y2267" s="5"/>
      <c r="Z2267" s="5" t="str">
        <f>HYPERLINK("https://knigipp.ru/api/getInfo/image/ff33a109-7b53-11eb-a275-ac1f6b442184")</f>
        <v>https://knigipp.ru/api/getInfo/image/ff33a109-7b53-11eb-a275-ac1f6b442184</v>
      </c>
      <c r="AA2267" s="33">
        <v>176</v>
      </c>
      <c r="AB2267" s="5"/>
      <c r="AC2267" s="5" t="s">
        <v>86</v>
      </c>
      <c r="AD2267" s="5"/>
      <c r="AE2267" s="5" t="s">
        <v>49</v>
      </c>
      <c r="AF2267" s="5"/>
      <c r="AG2267" s="5" t="s">
        <v>9729</v>
      </c>
      <c r="AH2267" s="5" t="s">
        <v>9730</v>
      </c>
    </row>
    <row r="2268" spans="2:34" ht="21" customHeight="1" outlineLevel="4" x14ac:dyDescent="0.2">
      <c r="B2268" s="42">
        <v>1785</v>
      </c>
      <c r="C2268" s="5" t="s">
        <v>10027</v>
      </c>
      <c r="D2268" s="5" t="s">
        <v>10028</v>
      </c>
      <c r="E2268" s="6" t="s">
        <v>10029</v>
      </c>
      <c r="F2268" s="10"/>
      <c r="G2268" s="11" t="s">
        <v>10030</v>
      </c>
      <c r="H2268" s="12">
        <v>10</v>
      </c>
      <c r="I2268" s="13" t="s">
        <v>41</v>
      </c>
      <c r="J2268" s="13"/>
      <c r="K2268" s="13"/>
      <c r="L2268" s="4">
        <v>4</v>
      </c>
      <c r="M2268" s="14">
        <f>179*(1-P3/100)</f>
        <v>179</v>
      </c>
      <c r="N2268" s="15"/>
      <c r="O2268" s="13">
        <f t="shared" si="100"/>
        <v>0</v>
      </c>
      <c r="P2268" s="22">
        <f>0.203*N2268</f>
        <v>0</v>
      </c>
      <c r="Q2268" s="23">
        <f>0.00047*N2268</f>
        <v>0</v>
      </c>
      <c r="R2268" s="24"/>
      <c r="S2268" s="25" t="s">
        <v>10031</v>
      </c>
      <c r="T2268" s="25" t="s">
        <v>43</v>
      </c>
      <c r="U2268" s="5" t="s">
        <v>10032</v>
      </c>
      <c r="V2268" s="5" t="s">
        <v>10033</v>
      </c>
      <c r="W2268" s="5" t="s">
        <v>46</v>
      </c>
      <c r="X2268" s="5" t="s">
        <v>9766</v>
      </c>
      <c r="Y2268" s="5"/>
      <c r="Z2268" s="5" t="str">
        <f>HYPERLINK("https://knigipp.ru/api/getInfo/image/89a84219-ccc1-11ee-a25a-00155d82e908")</f>
        <v>https://knigipp.ru/api/getInfo/image/89a84219-ccc1-11ee-a25a-00155d82e908</v>
      </c>
      <c r="AA2268" s="33">
        <v>96</v>
      </c>
      <c r="AB2268" s="5" t="s">
        <v>47</v>
      </c>
      <c r="AC2268" s="5" t="s">
        <v>86</v>
      </c>
      <c r="AD2268" s="5"/>
      <c r="AE2268" s="5" t="s">
        <v>49</v>
      </c>
      <c r="AF2268" s="5"/>
      <c r="AG2268" s="5" t="s">
        <v>9729</v>
      </c>
      <c r="AH2268" s="5" t="s">
        <v>9767</v>
      </c>
    </row>
    <row r="2269" spans="2:34" ht="21" customHeight="1" outlineLevel="4" x14ac:dyDescent="0.2">
      <c r="B2269" s="42">
        <v>1786</v>
      </c>
      <c r="C2269" s="5" t="s">
        <v>10034</v>
      </c>
      <c r="D2269" s="5" t="s">
        <v>10035</v>
      </c>
      <c r="E2269" s="6" t="s">
        <v>10036</v>
      </c>
      <c r="F2269" s="10"/>
      <c r="G2269" s="11" t="s">
        <v>10037</v>
      </c>
      <c r="H2269" s="12">
        <v>20</v>
      </c>
      <c r="I2269" s="13" t="s">
        <v>41</v>
      </c>
      <c r="J2269" s="13"/>
      <c r="K2269" s="13"/>
      <c r="L2269" s="4">
        <v>2</v>
      </c>
      <c r="M2269" s="14">
        <f>279*(1-P3/100)</f>
        <v>279</v>
      </c>
      <c r="N2269" s="15"/>
      <c r="O2269" s="13">
        <f t="shared" si="100"/>
        <v>0</v>
      </c>
      <c r="P2269" s="22">
        <f>0.315*N2269</f>
        <v>0</v>
      </c>
      <c r="Q2269" s="23">
        <f>0.00052*N2269</f>
        <v>0</v>
      </c>
      <c r="R2269" s="24"/>
      <c r="S2269" s="25" t="s">
        <v>10038</v>
      </c>
      <c r="T2269" s="25" t="s">
        <v>43</v>
      </c>
      <c r="U2269" s="5" t="s">
        <v>10039</v>
      </c>
      <c r="V2269" s="5" t="s">
        <v>10040</v>
      </c>
      <c r="W2269" s="5" t="s">
        <v>2731</v>
      </c>
      <c r="X2269" s="5"/>
      <c r="Y2269" s="5"/>
      <c r="Z2269" s="5" t="str">
        <f>HYPERLINK("https://knigipp.ru/api/getInfo/image/a5e8de93-8e0d-11eb-a278-ac1f6b442184")</f>
        <v>https://knigipp.ru/api/getInfo/image/a5e8de93-8e0d-11eb-a278-ac1f6b442184</v>
      </c>
      <c r="AA2269" s="33">
        <v>224</v>
      </c>
      <c r="AB2269" s="5"/>
      <c r="AC2269" s="5" t="s">
        <v>86</v>
      </c>
      <c r="AD2269" s="5"/>
      <c r="AE2269" s="5" t="s">
        <v>49</v>
      </c>
      <c r="AF2269" s="5"/>
      <c r="AG2269" s="5" t="s">
        <v>9729</v>
      </c>
      <c r="AH2269" s="5" t="s">
        <v>9730</v>
      </c>
    </row>
    <row r="2270" spans="2:34" ht="21" customHeight="1" outlineLevel="4" x14ac:dyDescent="0.2">
      <c r="B2270" s="42">
        <v>1787</v>
      </c>
      <c r="C2270" s="5" t="s">
        <v>10041</v>
      </c>
      <c r="D2270" s="5" t="s">
        <v>10042</v>
      </c>
      <c r="E2270" s="6" t="s">
        <v>10043</v>
      </c>
      <c r="F2270" s="10"/>
      <c r="G2270" s="11" t="s">
        <v>10044</v>
      </c>
      <c r="H2270" s="12">
        <v>20</v>
      </c>
      <c r="I2270" s="13" t="s">
        <v>41</v>
      </c>
      <c r="J2270" s="13"/>
      <c r="K2270" s="13"/>
      <c r="L2270" s="4">
        <v>3</v>
      </c>
      <c r="M2270" s="14">
        <f>219*(1-P3/100)</f>
        <v>219</v>
      </c>
      <c r="N2270" s="15"/>
      <c r="O2270" s="13">
        <f t="shared" si="100"/>
        <v>0</v>
      </c>
      <c r="P2270" s="22">
        <f>0.172*N2270</f>
        <v>0</v>
      </c>
      <c r="Q2270" s="23">
        <f>0.00036*N2270</f>
        <v>0</v>
      </c>
      <c r="R2270" s="24"/>
      <c r="S2270" s="25" t="s">
        <v>10045</v>
      </c>
      <c r="T2270" s="25" t="s">
        <v>43</v>
      </c>
      <c r="U2270" s="5" t="s">
        <v>10018</v>
      </c>
      <c r="V2270" s="5"/>
      <c r="W2270" s="5" t="s">
        <v>2731</v>
      </c>
      <c r="X2270" s="5" t="s">
        <v>10020</v>
      </c>
      <c r="Y2270" s="5"/>
      <c r="Z2270" s="5" t="str">
        <f>HYPERLINK("https://knigipp.ru/api/getInfo/image/94a7b2ce-79a5-11e6-97ea-5cf3fc4a2490")</f>
        <v>https://knigipp.ru/api/getInfo/image/94a7b2ce-79a5-11e6-97ea-5cf3fc4a2490</v>
      </c>
      <c r="AA2270" s="33">
        <v>128</v>
      </c>
      <c r="AB2270" s="5"/>
      <c r="AC2270" s="5" t="s">
        <v>86</v>
      </c>
      <c r="AD2270" s="5"/>
      <c r="AE2270" s="5" t="s">
        <v>49</v>
      </c>
      <c r="AF2270" s="5"/>
      <c r="AG2270" s="5" t="s">
        <v>9729</v>
      </c>
      <c r="AH2270" s="5" t="s">
        <v>9730</v>
      </c>
    </row>
    <row r="2271" spans="2:34" ht="22.95" customHeight="1" outlineLevel="2" x14ac:dyDescent="0.2">
      <c r="B2271" s="73" t="s">
        <v>10046</v>
      </c>
      <c r="C2271" s="73"/>
      <c r="D2271" s="73"/>
    </row>
    <row r="2272" spans="2:34" ht="21" customHeight="1" outlineLevel="3" x14ac:dyDescent="0.2">
      <c r="B2272" s="42">
        <v>1788</v>
      </c>
      <c r="C2272" s="5" t="s">
        <v>10047</v>
      </c>
      <c r="D2272" s="5" t="s">
        <v>10048</v>
      </c>
      <c r="E2272" s="6" t="s">
        <v>10049</v>
      </c>
      <c r="F2272" s="10"/>
      <c r="G2272" s="11" t="s">
        <v>10050</v>
      </c>
      <c r="H2272" s="12">
        <v>20</v>
      </c>
      <c r="I2272" s="13" t="s">
        <v>41</v>
      </c>
      <c r="J2272" s="13"/>
      <c r="K2272" s="13"/>
      <c r="L2272" s="4">
        <v>1</v>
      </c>
      <c r="M2272" s="14">
        <f>597*(1-P3/100)</f>
        <v>597</v>
      </c>
      <c r="N2272" s="15"/>
      <c r="O2272" s="13">
        <f>M2272*N2272</f>
        <v>0</v>
      </c>
      <c r="P2272" s="22">
        <f>0.822*N2272</f>
        <v>0</v>
      </c>
      <c r="Q2272" s="23">
        <f>0.00205*N2272</f>
        <v>0</v>
      </c>
      <c r="R2272" s="24"/>
      <c r="S2272" s="25" t="s">
        <v>10051</v>
      </c>
      <c r="T2272" s="25" t="s">
        <v>43</v>
      </c>
      <c r="U2272" s="5"/>
      <c r="V2272" s="5" t="s">
        <v>10052</v>
      </c>
      <c r="W2272" s="5" t="s">
        <v>2731</v>
      </c>
      <c r="X2272" s="5"/>
      <c r="Y2272" s="5"/>
      <c r="Z2272" s="5" t="str">
        <f>HYPERLINK("https://knigipp.ru/api/getInfo/image/47b8b260-1f49-11ef-a25f-00155d82e908")</f>
        <v>https://knigipp.ru/api/getInfo/image/47b8b260-1f49-11ef-a25f-00155d82e908</v>
      </c>
      <c r="AA2272" s="33">
        <v>160</v>
      </c>
      <c r="AB2272" s="5" t="s">
        <v>47</v>
      </c>
      <c r="AC2272" s="5" t="s">
        <v>86</v>
      </c>
      <c r="AD2272" s="5"/>
      <c r="AE2272" s="5" t="s">
        <v>49</v>
      </c>
      <c r="AF2272" s="5"/>
      <c r="AG2272" s="5"/>
      <c r="AH2272" s="5" t="s">
        <v>10053</v>
      </c>
    </row>
    <row r="2273" spans="2:34" ht="21" customHeight="1" outlineLevel="3" x14ac:dyDescent="0.2">
      <c r="B2273" s="42">
        <v>1789</v>
      </c>
      <c r="C2273" s="5" t="s">
        <v>10054</v>
      </c>
      <c r="D2273" s="5" t="s">
        <v>10055</v>
      </c>
      <c r="E2273" s="6" t="s">
        <v>10056</v>
      </c>
      <c r="F2273" s="10"/>
      <c r="G2273" s="11" t="s">
        <v>10057</v>
      </c>
      <c r="H2273" s="12">
        <v>20</v>
      </c>
      <c r="I2273" s="13" t="s">
        <v>41</v>
      </c>
      <c r="J2273" s="13"/>
      <c r="K2273" s="13"/>
      <c r="L2273" s="4">
        <v>1</v>
      </c>
      <c r="M2273" s="14">
        <f>597*(1-P3/100)</f>
        <v>597</v>
      </c>
      <c r="N2273" s="15"/>
      <c r="O2273" s="13">
        <f>M2273*N2273</f>
        <v>0</v>
      </c>
      <c r="P2273" s="22">
        <f>0.205*N2273</f>
        <v>0</v>
      </c>
      <c r="Q2273" s="23">
        <f>0.00048*N2273</f>
        <v>0</v>
      </c>
      <c r="R2273" s="24"/>
      <c r="S2273" s="25" t="s">
        <v>10058</v>
      </c>
      <c r="T2273" s="25" t="s">
        <v>43</v>
      </c>
      <c r="U2273" s="5" t="s">
        <v>10059</v>
      </c>
      <c r="V2273" s="5" t="s">
        <v>10060</v>
      </c>
      <c r="W2273" s="5" t="s">
        <v>2612</v>
      </c>
      <c r="X2273" s="5"/>
      <c r="Y2273" s="5"/>
      <c r="Z2273" s="5" t="str">
        <f>HYPERLINK("https://knigipp.ru/api/getInfo/image/fd87fd6a-25bd-11f0-a279-00155d82e908")</f>
        <v>https://knigipp.ru/api/getInfo/image/fd87fd6a-25bd-11f0-a279-00155d82e908</v>
      </c>
      <c r="AA2273" s="33">
        <v>160</v>
      </c>
      <c r="AB2273" s="5" t="s">
        <v>47</v>
      </c>
      <c r="AC2273" s="5" t="s">
        <v>86</v>
      </c>
      <c r="AD2273" s="5"/>
      <c r="AE2273" s="5" t="s">
        <v>49</v>
      </c>
      <c r="AF2273" s="5"/>
      <c r="AG2273" s="5"/>
      <c r="AH2273" s="5" t="s">
        <v>10053</v>
      </c>
    </row>
    <row r="2274" spans="2:34" ht="22.95" customHeight="1" outlineLevel="3" x14ac:dyDescent="0.2">
      <c r="B2274" s="74" t="s">
        <v>10061</v>
      </c>
      <c r="C2274" s="74"/>
      <c r="D2274" s="74"/>
    </row>
    <row r="2275" spans="2:34" ht="21" customHeight="1" outlineLevel="4" x14ac:dyDescent="0.2">
      <c r="B2275" s="42">
        <v>1790</v>
      </c>
      <c r="C2275" s="5" t="s">
        <v>10062</v>
      </c>
      <c r="D2275" s="5" t="s">
        <v>10063</v>
      </c>
      <c r="E2275" s="6" t="s">
        <v>10064</v>
      </c>
      <c r="F2275" s="10"/>
      <c r="G2275" s="11" t="s">
        <v>10065</v>
      </c>
      <c r="H2275" s="12">
        <v>12</v>
      </c>
      <c r="I2275" s="13" t="s">
        <v>41</v>
      </c>
      <c r="J2275" s="13"/>
      <c r="K2275" s="13"/>
      <c r="L2275" s="4">
        <v>2</v>
      </c>
      <c r="M2275" s="14">
        <f>399*(1-P3/100)</f>
        <v>399</v>
      </c>
      <c r="N2275" s="15"/>
      <c r="O2275" s="13">
        <f>M2275*N2275</f>
        <v>0</v>
      </c>
      <c r="P2275" s="22">
        <f>0.347*N2275</f>
        <v>0</v>
      </c>
      <c r="Q2275" s="23">
        <f>0.00057*N2275</f>
        <v>0</v>
      </c>
      <c r="R2275" s="24"/>
      <c r="S2275" s="25" t="s">
        <v>10066</v>
      </c>
      <c r="T2275" s="25" t="s">
        <v>43</v>
      </c>
      <c r="U2275" s="5" t="s">
        <v>10067</v>
      </c>
      <c r="V2275" s="5" t="s">
        <v>10068</v>
      </c>
      <c r="W2275" s="5" t="s">
        <v>2612</v>
      </c>
      <c r="X2275" s="5"/>
      <c r="Y2275" s="5"/>
      <c r="Z2275" s="5" t="str">
        <f>HYPERLINK("https://knigipp.ru/api/getInfo/image/19aa89dd-9e07-11f0-a285-00155d82e908")</f>
        <v>https://knigipp.ru/api/getInfo/image/19aa89dd-9e07-11f0-a285-00155d82e908</v>
      </c>
      <c r="AA2275" s="33">
        <v>48</v>
      </c>
      <c r="AB2275" s="5" t="s">
        <v>47</v>
      </c>
      <c r="AC2275" s="5" t="s">
        <v>86</v>
      </c>
      <c r="AD2275" s="5"/>
      <c r="AE2275" s="5" t="s">
        <v>49</v>
      </c>
      <c r="AF2275" s="5"/>
      <c r="AG2275" s="5"/>
      <c r="AH2275" s="5" t="s">
        <v>7902</v>
      </c>
    </row>
    <row r="2276" spans="2:34" ht="22.95" customHeight="1" outlineLevel="3" x14ac:dyDescent="0.2">
      <c r="B2276" s="74" t="s">
        <v>10069</v>
      </c>
      <c r="C2276" s="74"/>
      <c r="D2276" s="74"/>
    </row>
    <row r="2277" spans="2:34" ht="21" customHeight="1" outlineLevel="4" x14ac:dyDescent="0.2">
      <c r="B2277" s="42">
        <v>1791</v>
      </c>
      <c r="C2277" s="5" t="s">
        <v>10070</v>
      </c>
      <c r="D2277" s="5" t="s">
        <v>10071</v>
      </c>
      <c r="E2277" s="6" t="s">
        <v>10072</v>
      </c>
      <c r="F2277" s="10"/>
      <c r="G2277" s="11" t="s">
        <v>10073</v>
      </c>
      <c r="H2277" s="12">
        <v>20</v>
      </c>
      <c r="I2277" s="13" t="s">
        <v>371</v>
      </c>
      <c r="J2277" s="13"/>
      <c r="K2277" s="13"/>
      <c r="L2277" s="4">
        <v>3</v>
      </c>
      <c r="M2277" s="14">
        <f>197*(1-P3/100)</f>
        <v>197</v>
      </c>
      <c r="N2277" s="15"/>
      <c r="O2277" s="13">
        <f>M2277*N2277</f>
        <v>0</v>
      </c>
      <c r="P2277" s="22">
        <f>0.082*N2277</f>
        <v>0</v>
      </c>
      <c r="Q2277" s="23">
        <f>0.00013*N2277</f>
        <v>0</v>
      </c>
      <c r="R2277" s="24"/>
      <c r="S2277" s="25" t="s">
        <v>10074</v>
      </c>
      <c r="T2277" s="25" t="s">
        <v>43</v>
      </c>
      <c r="U2277" s="5"/>
      <c r="V2277" s="5" t="s">
        <v>10075</v>
      </c>
      <c r="W2277" s="5" t="s">
        <v>46</v>
      </c>
      <c r="X2277" s="5"/>
      <c r="Y2277" s="5"/>
      <c r="Z2277" s="5" t="str">
        <f>HYPERLINK("https://knigipp.ru/api/getInfo/image/2826cee9-480a-11ef-a262-00155d82e908")</f>
        <v>https://knigipp.ru/api/getInfo/image/2826cee9-480a-11ef-a262-00155d82e908</v>
      </c>
      <c r="AA2277" s="33">
        <v>64</v>
      </c>
      <c r="AB2277" s="5" t="s">
        <v>47</v>
      </c>
      <c r="AC2277" s="5" t="s">
        <v>48</v>
      </c>
      <c r="AD2277" s="5"/>
      <c r="AE2277" s="5" t="s">
        <v>49</v>
      </c>
      <c r="AF2277" s="5"/>
      <c r="AG2277" s="5"/>
      <c r="AH2277" s="5" t="s">
        <v>10076</v>
      </c>
    </row>
    <row r="2278" spans="2:34" ht="21" customHeight="1" outlineLevel="4" x14ac:dyDescent="0.2">
      <c r="B2278" s="42">
        <v>1792</v>
      </c>
      <c r="C2278" s="5" t="s">
        <v>10077</v>
      </c>
      <c r="D2278" s="5" t="s">
        <v>10078</v>
      </c>
      <c r="E2278" s="6" t="s">
        <v>10079</v>
      </c>
      <c r="F2278" s="10"/>
      <c r="G2278" s="11" t="s">
        <v>10080</v>
      </c>
      <c r="H2278" s="12">
        <v>20</v>
      </c>
      <c r="I2278" s="13" t="s">
        <v>371</v>
      </c>
      <c r="J2278" s="13"/>
      <c r="K2278" s="13"/>
      <c r="L2278" s="4">
        <v>3</v>
      </c>
      <c r="M2278" s="14">
        <f>197*(1-P3/100)</f>
        <v>197</v>
      </c>
      <c r="N2278" s="15"/>
      <c r="O2278" s="13">
        <f>M2278*N2278</f>
        <v>0</v>
      </c>
      <c r="P2278" s="22">
        <f>0.083*N2278</f>
        <v>0</v>
      </c>
      <c r="Q2278" s="23">
        <f>0.00013*N2278</f>
        <v>0</v>
      </c>
      <c r="R2278" s="24"/>
      <c r="S2278" s="25" t="s">
        <v>10081</v>
      </c>
      <c r="T2278" s="25" t="s">
        <v>43</v>
      </c>
      <c r="U2278" s="5"/>
      <c r="V2278" s="5" t="s">
        <v>10082</v>
      </c>
      <c r="W2278" s="5" t="s">
        <v>46</v>
      </c>
      <c r="X2278" s="5"/>
      <c r="Y2278" s="5"/>
      <c r="Z2278" s="5" t="str">
        <f>HYPERLINK("https://knigipp.ru/api/getInfo/image/b103ea03-4809-11ef-a262-00155d82e908")</f>
        <v>https://knigipp.ru/api/getInfo/image/b103ea03-4809-11ef-a262-00155d82e908</v>
      </c>
      <c r="AA2278" s="33">
        <v>64</v>
      </c>
      <c r="AB2278" s="5" t="s">
        <v>47</v>
      </c>
      <c r="AC2278" s="5" t="s">
        <v>48</v>
      </c>
      <c r="AD2278" s="5"/>
      <c r="AE2278" s="5" t="s">
        <v>49</v>
      </c>
      <c r="AF2278" s="5"/>
      <c r="AG2278" s="5"/>
      <c r="AH2278" s="5" t="s">
        <v>10076</v>
      </c>
    </row>
    <row r="2279" spans="2:34" ht="21" customHeight="1" outlineLevel="4" x14ac:dyDescent="0.2">
      <c r="B2279" s="42">
        <v>1793</v>
      </c>
      <c r="C2279" s="5" t="s">
        <v>10083</v>
      </c>
      <c r="D2279" s="5" t="s">
        <v>10084</v>
      </c>
      <c r="E2279" s="6" t="s">
        <v>10085</v>
      </c>
      <c r="F2279" s="10"/>
      <c r="G2279" s="11" t="s">
        <v>10086</v>
      </c>
      <c r="H2279" s="12">
        <v>20</v>
      </c>
      <c r="I2279" s="13" t="s">
        <v>41</v>
      </c>
      <c r="J2279" s="13"/>
      <c r="K2279" s="13"/>
      <c r="L2279" s="4">
        <v>3</v>
      </c>
      <c r="M2279" s="14">
        <f>197*(1-P3/100)</f>
        <v>197</v>
      </c>
      <c r="N2279" s="15"/>
      <c r="O2279" s="13">
        <f>M2279*N2279</f>
        <v>0</v>
      </c>
      <c r="P2279" s="22">
        <f>0.079*N2279</f>
        <v>0</v>
      </c>
      <c r="Q2279" s="23">
        <f>0.00031*N2279</f>
        <v>0</v>
      </c>
      <c r="R2279" s="24"/>
      <c r="S2279" s="25" t="s">
        <v>10087</v>
      </c>
      <c r="T2279" s="25" t="s">
        <v>43</v>
      </c>
      <c r="U2279" s="5"/>
      <c r="V2279" s="5" t="s">
        <v>10088</v>
      </c>
      <c r="W2279" s="5" t="s">
        <v>46</v>
      </c>
      <c r="X2279" s="5"/>
      <c r="Y2279" s="5"/>
      <c r="Z2279" s="5" t="str">
        <f>HYPERLINK("https://knigipp.ru/api/getInfo/image/d9447ec5-4809-11ef-a262-00155d82e908")</f>
        <v>https://knigipp.ru/api/getInfo/image/d9447ec5-4809-11ef-a262-00155d82e908</v>
      </c>
      <c r="AA2279" s="33">
        <v>64</v>
      </c>
      <c r="AB2279" s="5" t="s">
        <v>47</v>
      </c>
      <c r="AC2279" s="5" t="s">
        <v>48</v>
      </c>
      <c r="AD2279" s="5"/>
      <c r="AE2279" s="5" t="s">
        <v>49</v>
      </c>
      <c r="AF2279" s="5"/>
      <c r="AG2279" s="5"/>
      <c r="AH2279" s="5" t="s">
        <v>10076</v>
      </c>
    </row>
    <row r="2280" spans="2:34" ht="21" customHeight="1" outlineLevel="4" x14ac:dyDescent="0.2">
      <c r="B2280" s="42">
        <v>1794</v>
      </c>
      <c r="C2280" s="5" t="s">
        <v>10089</v>
      </c>
      <c r="D2280" s="5" t="s">
        <v>10090</v>
      </c>
      <c r="E2280" s="6" t="s">
        <v>10091</v>
      </c>
      <c r="F2280" s="10"/>
      <c r="G2280" s="11" t="s">
        <v>10092</v>
      </c>
      <c r="H2280" s="12">
        <v>20</v>
      </c>
      <c r="I2280" s="13" t="s">
        <v>41</v>
      </c>
      <c r="J2280" s="13"/>
      <c r="K2280" s="13"/>
      <c r="L2280" s="4">
        <v>3</v>
      </c>
      <c r="M2280" s="14">
        <f>197*(1-P3/100)</f>
        <v>197</v>
      </c>
      <c r="N2280" s="15"/>
      <c r="O2280" s="13">
        <f>M2280*N2280</f>
        <v>0</v>
      </c>
      <c r="P2280" s="22">
        <f>0.079*N2280</f>
        <v>0</v>
      </c>
      <c r="Q2280" s="23">
        <f>0.00013*N2280</f>
        <v>0</v>
      </c>
      <c r="R2280" s="24"/>
      <c r="S2280" s="25" t="s">
        <v>10093</v>
      </c>
      <c r="T2280" s="25" t="s">
        <v>43</v>
      </c>
      <c r="U2280" s="5"/>
      <c r="V2280" s="5" t="s">
        <v>10094</v>
      </c>
      <c r="W2280" s="5" t="s">
        <v>46</v>
      </c>
      <c r="X2280" s="5"/>
      <c r="Y2280" s="5"/>
      <c r="Z2280" s="5" t="str">
        <f>HYPERLINK("https://knigipp.ru/api/getInfo/image/fd13ce76-4809-11ef-a262-00155d82e908")</f>
        <v>https://knigipp.ru/api/getInfo/image/fd13ce76-4809-11ef-a262-00155d82e908</v>
      </c>
      <c r="AA2280" s="33">
        <v>64</v>
      </c>
      <c r="AB2280" s="5" t="s">
        <v>47</v>
      </c>
      <c r="AC2280" s="5" t="s">
        <v>48</v>
      </c>
      <c r="AD2280" s="5"/>
      <c r="AE2280" s="5" t="s">
        <v>49</v>
      </c>
      <c r="AF2280" s="5"/>
      <c r="AG2280" s="5"/>
      <c r="AH2280" s="5" t="s">
        <v>10076</v>
      </c>
    </row>
    <row r="2281" spans="2:34" ht="22.95" customHeight="1" outlineLevel="3" x14ac:dyDescent="0.2">
      <c r="B2281" s="74" t="s">
        <v>10095</v>
      </c>
      <c r="C2281" s="74"/>
      <c r="D2281" s="74"/>
    </row>
    <row r="2282" spans="2:34" ht="22.95" customHeight="1" outlineLevel="4" x14ac:dyDescent="0.2">
      <c r="B2282" s="75" t="s">
        <v>10096</v>
      </c>
      <c r="C2282" s="75"/>
      <c r="D2282" s="75"/>
    </row>
    <row r="2283" spans="2:34" ht="21" customHeight="1" outlineLevel="5" x14ac:dyDescent="0.2">
      <c r="B2283" s="42">
        <v>1795</v>
      </c>
      <c r="C2283" s="5" t="s">
        <v>10097</v>
      </c>
      <c r="D2283" s="5" t="s">
        <v>10098</v>
      </c>
      <c r="E2283" s="6" t="s">
        <v>10099</v>
      </c>
      <c r="F2283" s="10"/>
      <c r="G2283" s="11" t="s">
        <v>10100</v>
      </c>
      <c r="H2283" s="12">
        <v>20</v>
      </c>
      <c r="I2283" s="13" t="s">
        <v>261</v>
      </c>
      <c r="J2283" s="13"/>
      <c r="K2283" s="13"/>
      <c r="L2283" s="4">
        <v>3</v>
      </c>
      <c r="M2283" s="14">
        <f>239*(1-P3/100)</f>
        <v>239</v>
      </c>
      <c r="N2283" s="15"/>
      <c r="O2283" s="13">
        <f>M2283*N2283</f>
        <v>0</v>
      </c>
      <c r="P2283" s="22">
        <f>0.125*N2283</f>
        <v>0</v>
      </c>
      <c r="Q2283" s="23">
        <f>0.00024*N2283</f>
        <v>0</v>
      </c>
      <c r="R2283" s="24"/>
      <c r="S2283" s="25" t="s">
        <v>10101</v>
      </c>
      <c r="T2283" s="25" t="s">
        <v>43</v>
      </c>
      <c r="U2283" s="5"/>
      <c r="V2283" s="5"/>
      <c r="W2283" s="5" t="s">
        <v>46</v>
      </c>
      <c r="X2283" s="5"/>
      <c r="Y2283" s="5"/>
      <c r="Z2283" s="5" t="str">
        <f>HYPERLINK("https://knigipp.ru/api/getInfo/image/14e95ac7-602d-11ed-a229-00155d82e902")</f>
        <v>https://knigipp.ru/api/getInfo/image/14e95ac7-602d-11ed-a229-00155d82e902</v>
      </c>
      <c r="AA2283" s="33">
        <v>32</v>
      </c>
      <c r="AB2283" s="5" t="s">
        <v>47</v>
      </c>
      <c r="AC2283" s="5" t="s">
        <v>48</v>
      </c>
      <c r="AD2283" s="5"/>
      <c r="AE2283" s="5" t="s">
        <v>49</v>
      </c>
      <c r="AF2283" s="5"/>
      <c r="AG2283" s="5"/>
      <c r="AH2283" s="5" t="s">
        <v>10102</v>
      </c>
    </row>
    <row r="2284" spans="2:34" ht="22.95" customHeight="1" outlineLevel="4" x14ac:dyDescent="0.2">
      <c r="B2284" s="75" t="s">
        <v>10103</v>
      </c>
      <c r="C2284" s="75"/>
      <c r="D2284" s="75"/>
    </row>
    <row r="2285" spans="2:34" ht="21" customHeight="1" outlineLevel="5" x14ac:dyDescent="0.2">
      <c r="B2285" s="42">
        <v>1796</v>
      </c>
      <c r="C2285" s="5" t="s">
        <v>10104</v>
      </c>
      <c r="D2285" s="5" t="s">
        <v>10105</v>
      </c>
      <c r="E2285" s="6" t="s">
        <v>10106</v>
      </c>
      <c r="F2285" s="10"/>
      <c r="G2285" s="11" t="s">
        <v>10107</v>
      </c>
      <c r="H2285" s="12">
        <v>25</v>
      </c>
      <c r="I2285" s="13" t="s">
        <v>41</v>
      </c>
      <c r="J2285" s="13"/>
      <c r="K2285" s="13"/>
      <c r="L2285" s="4">
        <v>3</v>
      </c>
      <c r="M2285" s="14">
        <f>249*(1-P3/100)</f>
        <v>249</v>
      </c>
      <c r="N2285" s="15"/>
      <c r="O2285" s="13">
        <f t="shared" ref="O2285:O2292" si="101">M2285*N2285</f>
        <v>0</v>
      </c>
      <c r="P2285" s="36">
        <f>3.5*N2285</f>
        <v>0</v>
      </c>
      <c r="Q2285" s="23">
        <f>0.00324*N2285</f>
        <v>0</v>
      </c>
      <c r="R2285" s="24"/>
      <c r="S2285" s="25" t="s">
        <v>10108</v>
      </c>
      <c r="T2285" s="25" t="s">
        <v>43</v>
      </c>
      <c r="U2285" s="5"/>
      <c r="V2285" s="5"/>
      <c r="W2285" s="5" t="s">
        <v>46</v>
      </c>
      <c r="X2285" s="5"/>
      <c r="Y2285" s="5"/>
      <c r="Z2285" s="5" t="str">
        <f>HYPERLINK("https://knigipp.ru/api/getInfo/image/40cfafe6-e01c-11ec-a213-ac1f6b442185")</f>
        <v>https://knigipp.ru/api/getInfo/image/40cfafe6-e01c-11ec-a213-ac1f6b442185</v>
      </c>
      <c r="AA2285" s="33">
        <v>32</v>
      </c>
      <c r="AB2285" s="5"/>
      <c r="AC2285" s="5" t="s">
        <v>96</v>
      </c>
      <c r="AD2285" s="5"/>
      <c r="AE2285" s="5" t="s">
        <v>49</v>
      </c>
      <c r="AF2285" s="5"/>
      <c r="AG2285" s="5"/>
      <c r="AH2285" s="5" t="s">
        <v>7059</v>
      </c>
    </row>
    <row r="2286" spans="2:34" ht="21" customHeight="1" outlineLevel="5" x14ac:dyDescent="0.2">
      <c r="B2286" s="42">
        <v>1797</v>
      </c>
      <c r="C2286" s="5" t="s">
        <v>10109</v>
      </c>
      <c r="D2286" s="5" t="s">
        <v>10110</v>
      </c>
      <c r="E2286" s="6" t="s">
        <v>10111</v>
      </c>
      <c r="F2286" s="10"/>
      <c r="G2286" s="11" t="s">
        <v>10112</v>
      </c>
      <c r="H2286" s="12">
        <v>25</v>
      </c>
      <c r="I2286" s="13" t="s">
        <v>41</v>
      </c>
      <c r="J2286" s="13"/>
      <c r="K2286" s="13"/>
      <c r="L2286" s="4">
        <v>3</v>
      </c>
      <c r="M2286" s="14">
        <f>249*(1-P3/100)</f>
        <v>249</v>
      </c>
      <c r="N2286" s="15"/>
      <c r="O2286" s="13">
        <f t="shared" si="101"/>
        <v>0</v>
      </c>
      <c r="P2286" s="22">
        <f>0.043*N2286</f>
        <v>0</v>
      </c>
      <c r="Q2286" s="23">
        <f>0.00017*N2286</f>
        <v>0</v>
      </c>
      <c r="R2286" s="24"/>
      <c r="S2286" s="25" t="s">
        <v>10113</v>
      </c>
      <c r="T2286" s="25" t="s">
        <v>43</v>
      </c>
      <c r="U2286" s="5"/>
      <c r="V2286" s="5"/>
      <c r="W2286" s="5" t="s">
        <v>46</v>
      </c>
      <c r="X2286" s="5"/>
      <c r="Y2286" s="5"/>
      <c r="Z2286" s="5" t="str">
        <f>HYPERLINK("https://knigipp.ru/api/getInfo/image/c6792790-e016-11ec-a213-ac1f6b442185")</f>
        <v>https://knigipp.ru/api/getInfo/image/c6792790-e016-11ec-a213-ac1f6b442185</v>
      </c>
      <c r="AA2286" s="33">
        <v>32</v>
      </c>
      <c r="AB2286" s="5"/>
      <c r="AC2286" s="5" t="s">
        <v>96</v>
      </c>
      <c r="AD2286" s="5"/>
      <c r="AE2286" s="5" t="s">
        <v>49</v>
      </c>
      <c r="AF2286" s="5"/>
      <c r="AG2286" s="5"/>
      <c r="AH2286" s="5" t="s">
        <v>7059</v>
      </c>
    </row>
    <row r="2287" spans="2:34" ht="21" customHeight="1" outlineLevel="5" x14ac:dyDescent="0.2">
      <c r="B2287" s="42">
        <v>1798</v>
      </c>
      <c r="C2287" s="5" t="s">
        <v>10114</v>
      </c>
      <c r="D2287" s="5" t="s">
        <v>10115</v>
      </c>
      <c r="E2287" s="6" t="s">
        <v>10116</v>
      </c>
      <c r="F2287" s="10"/>
      <c r="G2287" s="11" t="s">
        <v>10112</v>
      </c>
      <c r="H2287" s="12">
        <v>25</v>
      </c>
      <c r="I2287" s="13" t="s">
        <v>41</v>
      </c>
      <c r="J2287" s="13"/>
      <c r="K2287" s="13"/>
      <c r="L2287" s="4">
        <v>3</v>
      </c>
      <c r="M2287" s="14">
        <f>249*(1-P3/100)</f>
        <v>249</v>
      </c>
      <c r="N2287" s="15"/>
      <c r="O2287" s="13">
        <f t="shared" si="101"/>
        <v>0</v>
      </c>
      <c r="P2287" s="22">
        <f>0.043*N2287</f>
        <v>0</v>
      </c>
      <c r="Q2287" s="23">
        <f>0.00009*N2287</f>
        <v>0</v>
      </c>
      <c r="R2287" s="24"/>
      <c r="S2287" s="25" t="s">
        <v>10117</v>
      </c>
      <c r="T2287" s="25" t="s">
        <v>43</v>
      </c>
      <c r="U2287" s="5"/>
      <c r="V2287" s="5"/>
      <c r="W2287" s="5" t="s">
        <v>46</v>
      </c>
      <c r="X2287" s="5"/>
      <c r="Y2287" s="5"/>
      <c r="Z2287" s="5" t="str">
        <f>HYPERLINK("https://knigipp.ru/api/getInfo/image/8c1a22f5-e016-11ec-a213-ac1f6b442185")</f>
        <v>https://knigipp.ru/api/getInfo/image/8c1a22f5-e016-11ec-a213-ac1f6b442185</v>
      </c>
      <c r="AA2287" s="33">
        <v>32</v>
      </c>
      <c r="AB2287" s="5"/>
      <c r="AC2287" s="5" t="s">
        <v>96</v>
      </c>
      <c r="AD2287" s="5"/>
      <c r="AE2287" s="5" t="s">
        <v>49</v>
      </c>
      <c r="AF2287" s="5"/>
      <c r="AG2287" s="5"/>
      <c r="AH2287" s="5" t="s">
        <v>7059</v>
      </c>
    </row>
    <row r="2288" spans="2:34" ht="21" customHeight="1" outlineLevel="5" x14ac:dyDescent="0.2">
      <c r="B2288" s="42">
        <v>1799</v>
      </c>
      <c r="C2288" s="5" t="s">
        <v>10118</v>
      </c>
      <c r="D2288" s="5" t="s">
        <v>10119</v>
      </c>
      <c r="E2288" s="6" t="s">
        <v>10120</v>
      </c>
      <c r="F2288" s="10"/>
      <c r="G2288" s="11" t="s">
        <v>10121</v>
      </c>
      <c r="H2288" s="12">
        <v>25</v>
      </c>
      <c r="I2288" s="13" t="s">
        <v>41</v>
      </c>
      <c r="J2288" s="13"/>
      <c r="K2288" s="13"/>
      <c r="L2288" s="4">
        <v>3</v>
      </c>
      <c r="M2288" s="14">
        <f>249*(1-P3/100)</f>
        <v>249</v>
      </c>
      <c r="N2288" s="15"/>
      <c r="O2288" s="13">
        <f t="shared" si="101"/>
        <v>0</v>
      </c>
      <c r="P2288" s="22">
        <f>0.043*N2288</f>
        <v>0</v>
      </c>
      <c r="Q2288" s="23">
        <f>0.00009*N2288</f>
        <v>0</v>
      </c>
      <c r="R2288" s="24"/>
      <c r="S2288" s="25" t="s">
        <v>10122</v>
      </c>
      <c r="T2288" s="25" t="s">
        <v>43</v>
      </c>
      <c r="U2288" s="5"/>
      <c r="V2288" s="5"/>
      <c r="W2288" s="5" t="s">
        <v>46</v>
      </c>
      <c r="X2288" s="5"/>
      <c r="Y2288" s="5"/>
      <c r="Z2288" s="5" t="str">
        <f>HYPERLINK("https://knigipp.ru/api/getInfo/image/0ea2de6d-e01c-11ec-a213-ac1f6b442185")</f>
        <v>https://knigipp.ru/api/getInfo/image/0ea2de6d-e01c-11ec-a213-ac1f6b442185</v>
      </c>
      <c r="AA2288" s="33">
        <v>32</v>
      </c>
      <c r="AB2288" s="5"/>
      <c r="AC2288" s="5" t="s">
        <v>96</v>
      </c>
      <c r="AD2288" s="5"/>
      <c r="AE2288" s="5" t="s">
        <v>49</v>
      </c>
      <c r="AF2288" s="5"/>
      <c r="AG2288" s="5"/>
      <c r="AH2288" s="5" t="s">
        <v>7059</v>
      </c>
    </row>
    <row r="2289" spans="2:35" ht="21" customHeight="1" outlineLevel="5" x14ac:dyDescent="0.2">
      <c r="B2289" s="42">
        <v>1800</v>
      </c>
      <c r="C2289" s="5" t="s">
        <v>10123</v>
      </c>
      <c r="D2289" s="5" t="s">
        <v>10124</v>
      </c>
      <c r="E2289" s="6" t="s">
        <v>10125</v>
      </c>
      <c r="F2289" s="10"/>
      <c r="G2289" s="11" t="s">
        <v>10112</v>
      </c>
      <c r="H2289" s="12">
        <v>25</v>
      </c>
      <c r="I2289" s="13" t="s">
        <v>41</v>
      </c>
      <c r="J2289" s="13"/>
      <c r="K2289" s="13"/>
      <c r="L2289" s="4">
        <v>3</v>
      </c>
      <c r="M2289" s="14">
        <f>249*(1-P3/100)</f>
        <v>249</v>
      </c>
      <c r="N2289" s="15"/>
      <c r="O2289" s="13">
        <f t="shared" si="101"/>
        <v>0</v>
      </c>
      <c r="P2289" s="22">
        <f>0.141*N2289</f>
        <v>0</v>
      </c>
      <c r="Q2289" s="23">
        <f>0.00116*N2289</f>
        <v>0</v>
      </c>
      <c r="R2289" s="24"/>
      <c r="S2289" s="25" t="s">
        <v>10126</v>
      </c>
      <c r="T2289" s="25" t="s">
        <v>43</v>
      </c>
      <c r="U2289" s="5"/>
      <c r="V2289" s="5"/>
      <c r="W2289" s="5" t="s">
        <v>46</v>
      </c>
      <c r="X2289" s="5"/>
      <c r="Y2289" s="5"/>
      <c r="Z2289" s="5" t="str">
        <f>HYPERLINK("https://knigipp.ru/api/getInfo/image/f9f181e7-e016-11ec-a213-ac1f6b442185")</f>
        <v>https://knigipp.ru/api/getInfo/image/f9f181e7-e016-11ec-a213-ac1f6b442185</v>
      </c>
      <c r="AA2289" s="33">
        <v>32</v>
      </c>
      <c r="AB2289" s="5"/>
      <c r="AC2289" s="5" t="s">
        <v>96</v>
      </c>
      <c r="AD2289" s="5"/>
      <c r="AE2289" s="5" t="s">
        <v>49</v>
      </c>
      <c r="AF2289" s="5"/>
      <c r="AG2289" s="5"/>
      <c r="AH2289" s="5" t="s">
        <v>7059</v>
      </c>
    </row>
    <row r="2290" spans="2:35" ht="21" customHeight="1" outlineLevel="5" x14ac:dyDescent="0.2">
      <c r="B2290" s="42">
        <v>1801</v>
      </c>
      <c r="C2290" s="5" t="s">
        <v>10127</v>
      </c>
      <c r="D2290" s="5" t="s">
        <v>10128</v>
      </c>
      <c r="E2290" s="6" t="s">
        <v>10129</v>
      </c>
      <c r="F2290" s="10"/>
      <c r="G2290" s="11" t="s">
        <v>10130</v>
      </c>
      <c r="H2290" s="12">
        <v>25</v>
      </c>
      <c r="I2290" s="13" t="s">
        <v>41</v>
      </c>
      <c r="J2290" s="13"/>
      <c r="K2290" s="13"/>
      <c r="L2290" s="4">
        <v>3</v>
      </c>
      <c r="M2290" s="14">
        <f>249*(1-P3/100)</f>
        <v>249</v>
      </c>
      <c r="N2290" s="15"/>
      <c r="O2290" s="13">
        <f t="shared" si="101"/>
        <v>0</v>
      </c>
      <c r="P2290" s="22">
        <f>0.043*N2290</f>
        <v>0</v>
      </c>
      <c r="Q2290" s="23">
        <f>0.00017*N2290</f>
        <v>0</v>
      </c>
      <c r="R2290" s="24"/>
      <c r="S2290" s="25" t="s">
        <v>10131</v>
      </c>
      <c r="T2290" s="25" t="s">
        <v>43</v>
      </c>
      <c r="U2290" s="5"/>
      <c r="V2290" s="5"/>
      <c r="W2290" s="5" t="s">
        <v>46</v>
      </c>
      <c r="X2290" s="5"/>
      <c r="Y2290" s="5"/>
      <c r="Z2290" s="5" t="str">
        <f>HYPERLINK("https://knigipp.ru/api/getInfo/image/7b8965dd-e01c-11ec-a213-ac1f6b442185")</f>
        <v>https://knigipp.ru/api/getInfo/image/7b8965dd-e01c-11ec-a213-ac1f6b442185</v>
      </c>
      <c r="AA2290" s="33">
        <v>32</v>
      </c>
      <c r="AB2290" s="5"/>
      <c r="AC2290" s="5" t="s">
        <v>96</v>
      </c>
      <c r="AD2290" s="5"/>
      <c r="AE2290" s="5" t="s">
        <v>49</v>
      </c>
      <c r="AF2290" s="5"/>
      <c r="AG2290" s="5"/>
      <c r="AH2290" s="5" t="s">
        <v>7059</v>
      </c>
    </row>
    <row r="2291" spans="2:35" ht="21" customHeight="1" outlineLevel="5" x14ac:dyDescent="0.2">
      <c r="B2291" s="42">
        <v>1802</v>
      </c>
      <c r="C2291" s="5" t="s">
        <v>10132</v>
      </c>
      <c r="D2291" s="5" t="s">
        <v>10133</v>
      </c>
      <c r="E2291" s="6" t="s">
        <v>10134</v>
      </c>
      <c r="F2291" s="10"/>
      <c r="G2291" s="11" t="s">
        <v>10112</v>
      </c>
      <c r="H2291" s="12">
        <v>25</v>
      </c>
      <c r="I2291" s="13" t="s">
        <v>41</v>
      </c>
      <c r="J2291" s="13"/>
      <c r="K2291" s="13"/>
      <c r="L2291" s="4">
        <v>3</v>
      </c>
      <c r="M2291" s="14">
        <f>249*(1-P3/100)</f>
        <v>249</v>
      </c>
      <c r="N2291" s="15"/>
      <c r="O2291" s="13">
        <f t="shared" si="101"/>
        <v>0</v>
      </c>
      <c r="P2291" s="22">
        <f>0.043*N2291</f>
        <v>0</v>
      </c>
      <c r="Q2291" s="23">
        <f>0.00017*N2291</f>
        <v>0</v>
      </c>
      <c r="R2291" s="24"/>
      <c r="S2291" s="25" t="s">
        <v>10135</v>
      </c>
      <c r="T2291" s="25" t="s">
        <v>43</v>
      </c>
      <c r="U2291" s="5"/>
      <c r="V2291" s="5"/>
      <c r="W2291" s="5" t="s">
        <v>46</v>
      </c>
      <c r="X2291" s="5"/>
      <c r="Y2291" s="5"/>
      <c r="Z2291" s="5" t="str">
        <f>HYPERLINK("https://knigipp.ru/api/getInfo/image/22ef5069-e017-11ec-a213-ac1f6b442185")</f>
        <v>https://knigipp.ru/api/getInfo/image/22ef5069-e017-11ec-a213-ac1f6b442185</v>
      </c>
      <c r="AA2291" s="33">
        <v>32</v>
      </c>
      <c r="AB2291" s="5"/>
      <c r="AC2291" s="5" t="s">
        <v>96</v>
      </c>
      <c r="AD2291" s="5"/>
      <c r="AE2291" s="5" t="s">
        <v>49</v>
      </c>
      <c r="AF2291" s="5"/>
      <c r="AG2291" s="5"/>
      <c r="AH2291" s="5" t="s">
        <v>7059</v>
      </c>
    </row>
    <row r="2292" spans="2:35" ht="21" customHeight="1" outlineLevel="5" x14ac:dyDescent="0.2">
      <c r="B2292" s="42">
        <v>1803</v>
      </c>
      <c r="C2292" s="5" t="s">
        <v>10136</v>
      </c>
      <c r="D2292" s="5" t="s">
        <v>10137</v>
      </c>
      <c r="E2292" s="6" t="s">
        <v>10138</v>
      </c>
      <c r="F2292" s="10"/>
      <c r="G2292" s="11" t="s">
        <v>10139</v>
      </c>
      <c r="H2292" s="12">
        <v>25</v>
      </c>
      <c r="I2292" s="13" t="s">
        <v>41</v>
      </c>
      <c r="J2292" s="13"/>
      <c r="K2292" s="13"/>
      <c r="L2292" s="4">
        <v>3</v>
      </c>
      <c r="M2292" s="14">
        <f>249*(1-P3/100)</f>
        <v>249</v>
      </c>
      <c r="N2292" s="15"/>
      <c r="O2292" s="13">
        <f t="shared" si="101"/>
        <v>0</v>
      </c>
      <c r="P2292" s="22">
        <f>0.043*N2292</f>
        <v>0</v>
      </c>
      <c r="Q2292" s="23">
        <f>0.00009*N2292</f>
        <v>0</v>
      </c>
      <c r="R2292" s="24"/>
      <c r="S2292" s="25" t="s">
        <v>10140</v>
      </c>
      <c r="T2292" s="25" t="s">
        <v>43</v>
      </c>
      <c r="U2292" s="5"/>
      <c r="V2292" s="5"/>
      <c r="W2292" s="5" t="s">
        <v>46</v>
      </c>
      <c r="X2292" s="5"/>
      <c r="Y2292" s="5"/>
      <c r="Z2292" s="5" t="str">
        <f>HYPERLINK("https://knigipp.ru/api/getInfo/image/d98958d2-e01b-11ec-a213-ac1f6b442185")</f>
        <v>https://knigipp.ru/api/getInfo/image/d98958d2-e01b-11ec-a213-ac1f6b442185</v>
      </c>
      <c r="AA2292" s="33">
        <v>32</v>
      </c>
      <c r="AB2292" s="5"/>
      <c r="AC2292" s="5" t="s">
        <v>96</v>
      </c>
      <c r="AD2292" s="5"/>
      <c r="AE2292" s="5" t="s">
        <v>49</v>
      </c>
      <c r="AF2292" s="5"/>
      <c r="AG2292" s="5"/>
      <c r="AH2292" s="5" t="s">
        <v>7059</v>
      </c>
    </row>
    <row r="2293" spans="2:35" ht="22.95" customHeight="1" outlineLevel="3" x14ac:dyDescent="0.2">
      <c r="B2293" s="74" t="s">
        <v>10141</v>
      </c>
      <c r="C2293" s="74"/>
      <c r="D2293" s="74"/>
    </row>
    <row r="2294" spans="2:35" ht="21" customHeight="1" outlineLevel="4" x14ac:dyDescent="0.2">
      <c r="B2294" s="42">
        <v>1804</v>
      </c>
      <c r="C2294" s="5" t="s">
        <v>10142</v>
      </c>
      <c r="D2294" s="5" t="s">
        <v>10143</v>
      </c>
      <c r="E2294" s="6" t="s">
        <v>10144</v>
      </c>
      <c r="F2294" s="10"/>
      <c r="G2294" s="11" t="s">
        <v>10145</v>
      </c>
      <c r="H2294" s="12">
        <v>10</v>
      </c>
      <c r="I2294" s="13" t="s">
        <v>41</v>
      </c>
      <c r="J2294" s="13"/>
      <c r="K2294" s="13"/>
      <c r="L2294" s="4">
        <v>1</v>
      </c>
      <c r="M2294" s="14">
        <f>644*(1-P3/100)</f>
        <v>644</v>
      </c>
      <c r="N2294" s="15"/>
      <c r="O2294" s="13">
        <f>M2294*N2294</f>
        <v>0</v>
      </c>
      <c r="P2294" s="13">
        <v>0</v>
      </c>
      <c r="Q2294" s="13">
        <v>0</v>
      </c>
      <c r="R2294" s="24"/>
      <c r="S2294" s="25" t="s">
        <v>10146</v>
      </c>
      <c r="T2294" s="25" t="s">
        <v>43</v>
      </c>
      <c r="U2294" s="5" t="s">
        <v>10147</v>
      </c>
      <c r="V2294" s="5"/>
      <c r="W2294" s="5" t="s">
        <v>46</v>
      </c>
      <c r="X2294" s="5"/>
      <c r="Y2294" s="5"/>
      <c r="Z2294" s="5" t="str">
        <f>HYPERLINK("https://knigipp.ru/api/getInfo/image/37be1dc6-d1cf-11ec-a212-ac1f6b442185")</f>
        <v>https://knigipp.ru/api/getInfo/image/37be1dc6-d1cf-11ec-a212-ac1f6b442185</v>
      </c>
      <c r="AA2294" s="33">
        <v>128</v>
      </c>
      <c r="AB2294" s="5"/>
      <c r="AC2294" s="5" t="s">
        <v>86</v>
      </c>
      <c r="AD2294" s="5"/>
      <c r="AE2294" s="5" t="s">
        <v>49</v>
      </c>
      <c r="AF2294" s="5"/>
      <c r="AG2294" s="5"/>
      <c r="AH2294" s="5" t="s">
        <v>10148</v>
      </c>
    </row>
    <row r="2295" spans="2:35" ht="21" customHeight="1" outlineLevel="4" x14ac:dyDescent="0.2">
      <c r="B2295" s="42">
        <v>1805</v>
      </c>
      <c r="C2295" s="5" t="s">
        <v>10149</v>
      </c>
      <c r="D2295" s="5" t="s">
        <v>10150</v>
      </c>
      <c r="E2295" s="6" t="s">
        <v>10151</v>
      </c>
      <c r="F2295" s="10"/>
      <c r="G2295" s="11" t="s">
        <v>10152</v>
      </c>
      <c r="H2295" s="12">
        <v>6</v>
      </c>
      <c r="I2295" s="13" t="s">
        <v>41</v>
      </c>
      <c r="J2295" s="13"/>
      <c r="K2295" s="13"/>
      <c r="L2295" s="4">
        <v>1</v>
      </c>
      <c r="M2295" s="14">
        <f>839*(1-P3/100)</f>
        <v>839</v>
      </c>
      <c r="N2295" s="15"/>
      <c r="O2295" s="13">
        <f>M2295*N2295</f>
        <v>0</v>
      </c>
      <c r="P2295" s="22">
        <f>0.833*N2295</f>
        <v>0</v>
      </c>
      <c r="Q2295" s="23">
        <f>0.00138*N2295</f>
        <v>0</v>
      </c>
      <c r="R2295" s="24"/>
      <c r="S2295" s="25" t="s">
        <v>10153</v>
      </c>
      <c r="T2295" s="25" t="s">
        <v>43</v>
      </c>
      <c r="U2295" s="5"/>
      <c r="V2295" s="5" t="s">
        <v>10154</v>
      </c>
      <c r="W2295" s="5" t="s">
        <v>2612</v>
      </c>
      <c r="X2295" s="5"/>
      <c r="Y2295" s="5"/>
      <c r="Z2295" s="5" t="str">
        <f>HYPERLINK("https://knigipp.ru/api/getInfo/image/4b5e04f7-522f-11e9-a222-ac1f6b442184")</f>
        <v>https://knigipp.ru/api/getInfo/image/4b5e04f7-522f-11e9-a222-ac1f6b442184</v>
      </c>
      <c r="AA2295" s="33">
        <v>208</v>
      </c>
      <c r="AB2295" s="5"/>
      <c r="AC2295" s="5" t="s">
        <v>86</v>
      </c>
      <c r="AD2295" s="5"/>
      <c r="AE2295" s="5" t="s">
        <v>49</v>
      </c>
      <c r="AF2295" s="5"/>
      <c r="AG2295" s="5"/>
      <c r="AH2295" s="5" t="s">
        <v>10155</v>
      </c>
    </row>
    <row r="2296" spans="2:35" ht="21" customHeight="1" outlineLevel="4" x14ac:dyDescent="0.2">
      <c r="B2296" s="42">
        <v>1806</v>
      </c>
      <c r="C2296" s="5" t="s">
        <v>10156</v>
      </c>
      <c r="D2296" s="5" t="s">
        <v>10157</v>
      </c>
      <c r="E2296" s="6" t="s">
        <v>10158</v>
      </c>
      <c r="F2296" s="10"/>
      <c r="G2296" s="11" t="s">
        <v>10159</v>
      </c>
      <c r="H2296" s="12">
        <v>10</v>
      </c>
      <c r="I2296" s="13" t="s">
        <v>41</v>
      </c>
      <c r="J2296" s="13"/>
      <c r="K2296" s="13"/>
      <c r="L2296" s="4">
        <v>1</v>
      </c>
      <c r="M2296" s="14">
        <f>699*(1-P3/100)</f>
        <v>699</v>
      </c>
      <c r="N2296" s="15"/>
      <c r="O2296" s="13">
        <f>M2296*N2296</f>
        <v>0</v>
      </c>
      <c r="P2296" s="22">
        <f>0.599*N2296</f>
        <v>0</v>
      </c>
      <c r="Q2296" s="23">
        <f>0.00089*N2296</f>
        <v>0</v>
      </c>
      <c r="R2296" s="24"/>
      <c r="S2296" s="25" t="s">
        <v>10160</v>
      </c>
      <c r="T2296" s="25" t="s">
        <v>43</v>
      </c>
      <c r="U2296" s="5" t="s">
        <v>8673</v>
      </c>
      <c r="V2296" s="5"/>
      <c r="W2296" s="5" t="s">
        <v>46</v>
      </c>
      <c r="X2296" s="5"/>
      <c r="Y2296" s="5"/>
      <c r="Z2296" s="5" t="str">
        <f>HYPERLINK("https://knigipp.ru/api/getInfo/image/6a33ca5e-d1cf-11ec-a212-ac1f6b442185")</f>
        <v>https://knigipp.ru/api/getInfo/image/6a33ca5e-d1cf-11ec-a212-ac1f6b442185</v>
      </c>
      <c r="AA2296" s="33">
        <v>128</v>
      </c>
      <c r="AB2296" s="5"/>
      <c r="AC2296" s="5" t="s">
        <v>86</v>
      </c>
      <c r="AD2296" s="5"/>
      <c r="AE2296" s="5" t="s">
        <v>49</v>
      </c>
      <c r="AF2296" s="5"/>
      <c r="AG2296" s="5"/>
      <c r="AH2296" s="5" t="s">
        <v>10148</v>
      </c>
    </row>
    <row r="2297" spans="2:35" ht="21" customHeight="1" outlineLevel="4" x14ac:dyDescent="0.2">
      <c r="B2297" s="42">
        <v>1807</v>
      </c>
      <c r="C2297" s="5" t="s">
        <v>10161</v>
      </c>
      <c r="D2297" s="5" t="s">
        <v>10162</v>
      </c>
      <c r="E2297" s="6" t="s">
        <v>10163</v>
      </c>
      <c r="F2297" s="10"/>
      <c r="G2297" s="11" t="s">
        <v>10164</v>
      </c>
      <c r="H2297" s="12">
        <v>10</v>
      </c>
      <c r="I2297" s="13" t="s">
        <v>261</v>
      </c>
      <c r="J2297" s="13"/>
      <c r="K2297" s="13"/>
      <c r="L2297" s="4">
        <v>1</v>
      </c>
      <c r="M2297" s="14">
        <f>899*(1-P3/100)</f>
        <v>899</v>
      </c>
      <c r="N2297" s="15"/>
      <c r="O2297" s="13">
        <f>M2297*N2297</f>
        <v>0</v>
      </c>
      <c r="P2297" s="22">
        <f>0.734*N2297</f>
        <v>0</v>
      </c>
      <c r="Q2297" s="23">
        <f>0.00115*N2297</f>
        <v>0</v>
      </c>
      <c r="R2297" s="24"/>
      <c r="S2297" s="25" t="s">
        <v>10165</v>
      </c>
      <c r="T2297" s="25" t="s">
        <v>43</v>
      </c>
      <c r="U2297" s="5" t="s">
        <v>8673</v>
      </c>
      <c r="V2297" s="5"/>
      <c r="W2297" s="5" t="s">
        <v>46</v>
      </c>
      <c r="X2297" s="5"/>
      <c r="Y2297" s="5"/>
      <c r="Z2297" s="5" t="str">
        <f>HYPERLINK("https://knigipp.ru/api/getInfo/image/c250c310-d1cf-11ec-a212-ac1f6b442185")</f>
        <v>https://knigipp.ru/api/getInfo/image/c250c310-d1cf-11ec-a212-ac1f6b442185</v>
      </c>
      <c r="AA2297" s="33">
        <v>176</v>
      </c>
      <c r="AB2297" s="5"/>
      <c r="AC2297" s="5" t="s">
        <v>86</v>
      </c>
      <c r="AD2297" s="5"/>
      <c r="AE2297" s="5" t="s">
        <v>49</v>
      </c>
      <c r="AF2297" s="5"/>
      <c r="AG2297" s="5"/>
      <c r="AH2297" s="5" t="s">
        <v>10166</v>
      </c>
    </row>
    <row r="2298" spans="2:35" ht="22.95" customHeight="1" outlineLevel="3" x14ac:dyDescent="0.2">
      <c r="B2298" s="74" t="s">
        <v>10167</v>
      </c>
      <c r="C2298" s="74"/>
      <c r="D2298" s="74"/>
    </row>
    <row r="2299" spans="2:35" ht="21" customHeight="1" outlineLevel="4" x14ac:dyDescent="0.2">
      <c r="B2299" s="43">
        <v>1808</v>
      </c>
      <c r="C2299" s="8" t="s">
        <v>10168</v>
      </c>
      <c r="D2299" s="8" t="s">
        <v>10169</v>
      </c>
      <c r="E2299" s="9" t="s">
        <v>10170</v>
      </c>
      <c r="F2299" s="16"/>
      <c r="G2299" s="17" t="s">
        <v>10171</v>
      </c>
      <c r="H2299" s="18">
        <v>20</v>
      </c>
      <c r="I2299" s="19" t="s">
        <v>41</v>
      </c>
      <c r="J2299" s="19"/>
      <c r="K2299" s="19"/>
      <c r="L2299" s="7">
        <v>1</v>
      </c>
      <c r="M2299" s="21">
        <f>677*(1-P3/100)</f>
        <v>677</v>
      </c>
      <c r="N2299" s="15"/>
      <c r="O2299" s="19">
        <f>M2299*N2299</f>
        <v>0</v>
      </c>
      <c r="P2299" s="26">
        <f>0.176*N2299</f>
        <v>0</v>
      </c>
      <c r="Q2299" s="27">
        <f>0.00046*N2299</f>
        <v>0</v>
      </c>
      <c r="R2299" s="28" t="s">
        <v>81</v>
      </c>
      <c r="S2299" s="29" t="s">
        <v>10172</v>
      </c>
      <c r="T2299" s="29" t="s">
        <v>43</v>
      </c>
      <c r="U2299" s="8" t="s">
        <v>676</v>
      </c>
      <c r="V2299" s="8"/>
      <c r="W2299" s="8" t="s">
        <v>46</v>
      </c>
      <c r="X2299" s="8"/>
      <c r="Y2299" s="8"/>
      <c r="Z2299" s="8" t="str">
        <f>HYPERLINK("https://knigipp.ru/api/getInfo/image/8be58a60-cc64-11f0-a28a-00155d82e908")</f>
        <v>https://knigipp.ru/api/getInfo/image/8be58a60-cc64-11f0-a28a-00155d82e908</v>
      </c>
      <c r="AA2299" s="34">
        <v>80</v>
      </c>
      <c r="AB2299" s="8" t="s">
        <v>47</v>
      </c>
      <c r="AC2299" s="8" t="s">
        <v>48</v>
      </c>
      <c r="AD2299" s="8"/>
      <c r="AE2299" s="8" t="s">
        <v>49</v>
      </c>
      <c r="AF2299" s="8"/>
      <c r="AG2299" s="8"/>
      <c r="AH2299" s="8" t="s">
        <v>10173</v>
      </c>
      <c r="AI2299" s="55"/>
    </row>
    <row r="2300" spans="2:35" ht="21" customHeight="1" outlineLevel="4" x14ac:dyDescent="0.2">
      <c r="B2300" s="43">
        <v>1809</v>
      </c>
      <c r="C2300" s="8" t="s">
        <v>10174</v>
      </c>
      <c r="D2300" s="8" t="s">
        <v>10175</v>
      </c>
      <c r="E2300" s="9" t="s">
        <v>10176</v>
      </c>
      <c r="F2300" s="16"/>
      <c r="G2300" s="17" t="s">
        <v>10177</v>
      </c>
      <c r="H2300" s="18">
        <v>10</v>
      </c>
      <c r="I2300" s="19" t="s">
        <v>41</v>
      </c>
      <c r="J2300" s="19"/>
      <c r="K2300" s="19"/>
      <c r="L2300" s="7">
        <v>1</v>
      </c>
      <c r="M2300" s="21">
        <f>687*(1-P3/100)</f>
        <v>687</v>
      </c>
      <c r="N2300" s="15"/>
      <c r="O2300" s="19">
        <f>M2300*N2300</f>
        <v>0</v>
      </c>
      <c r="P2300" s="26">
        <f>0.338*N2300</f>
        <v>0</v>
      </c>
      <c r="Q2300" s="27">
        <f>0.00063*N2300</f>
        <v>0</v>
      </c>
      <c r="R2300" s="28" t="s">
        <v>81</v>
      </c>
      <c r="S2300" s="29" t="s">
        <v>10178</v>
      </c>
      <c r="T2300" s="29" t="s">
        <v>43</v>
      </c>
      <c r="U2300" s="8" t="s">
        <v>676</v>
      </c>
      <c r="V2300" s="8" t="s">
        <v>10179</v>
      </c>
      <c r="W2300" s="8" t="s">
        <v>46</v>
      </c>
      <c r="X2300" s="8"/>
      <c r="Y2300" s="8"/>
      <c r="Z2300" s="8" t="str">
        <f>HYPERLINK("https://knigipp.ru/api/getInfo/image/2c34db2a-b664-11f0-a286-00155d82e908")</f>
        <v>https://knigipp.ru/api/getInfo/image/2c34db2a-b664-11f0-a286-00155d82e908</v>
      </c>
      <c r="AA2300" s="34">
        <v>64</v>
      </c>
      <c r="AB2300" s="8" t="s">
        <v>574</v>
      </c>
      <c r="AC2300" s="8" t="s">
        <v>86</v>
      </c>
      <c r="AD2300" s="8"/>
      <c r="AE2300" s="8" t="s">
        <v>49</v>
      </c>
      <c r="AF2300" s="8"/>
      <c r="AG2300" s="8"/>
      <c r="AH2300" s="8" t="s">
        <v>10180</v>
      </c>
      <c r="AI2300" s="55"/>
    </row>
    <row r="2301" spans="2:35" ht="21" customHeight="1" outlineLevel="4" x14ac:dyDescent="0.2">
      <c r="B2301" s="42">
        <v>1810</v>
      </c>
      <c r="C2301" s="5" t="s">
        <v>10181</v>
      </c>
      <c r="D2301" s="5" t="s">
        <v>10182</v>
      </c>
      <c r="E2301" s="6" t="s">
        <v>10183</v>
      </c>
      <c r="F2301" s="10"/>
      <c r="G2301" s="11" t="s">
        <v>10184</v>
      </c>
      <c r="H2301" s="12">
        <v>10</v>
      </c>
      <c r="I2301" s="13" t="s">
        <v>261</v>
      </c>
      <c r="J2301" s="13"/>
      <c r="K2301" s="13"/>
      <c r="L2301" s="4">
        <v>2</v>
      </c>
      <c r="M2301" s="14">
        <f>394.09*(1-P3/100)</f>
        <v>394.09</v>
      </c>
      <c r="N2301" s="15"/>
      <c r="O2301" s="13">
        <f>M2301*N2301</f>
        <v>0</v>
      </c>
      <c r="P2301" s="13">
        <v>0</v>
      </c>
      <c r="Q2301" s="13">
        <v>0</v>
      </c>
      <c r="R2301" s="24"/>
      <c r="S2301" s="25" t="s">
        <v>10185</v>
      </c>
      <c r="T2301" s="25" t="s">
        <v>43</v>
      </c>
      <c r="U2301" s="5" t="s">
        <v>10186</v>
      </c>
      <c r="V2301" s="5"/>
      <c r="W2301" s="5" t="s">
        <v>46</v>
      </c>
      <c r="X2301" s="5"/>
      <c r="Y2301" s="5"/>
      <c r="Z2301" s="5" t="str">
        <f>HYPERLINK("https://knigipp.ru/api/getInfo/image/80bc9704-64c4-11ec-a20f-ac1f6b442185")</f>
        <v>https://knigipp.ru/api/getInfo/image/80bc9704-64c4-11ec-a20f-ac1f6b442185</v>
      </c>
      <c r="AA2301" s="33">
        <v>64</v>
      </c>
      <c r="AB2301" s="5"/>
      <c r="AC2301" s="5" t="s">
        <v>86</v>
      </c>
      <c r="AD2301" s="5"/>
      <c r="AE2301" s="5" t="s">
        <v>49</v>
      </c>
      <c r="AF2301" s="5"/>
      <c r="AG2301" s="5"/>
      <c r="AH2301" s="5" t="s">
        <v>10187</v>
      </c>
    </row>
    <row r="2302" spans="2:35" ht="22.95" customHeight="1" outlineLevel="3" x14ac:dyDescent="0.2">
      <c r="B2302" s="74" t="s">
        <v>10188</v>
      </c>
      <c r="C2302" s="74"/>
      <c r="D2302" s="74"/>
    </row>
    <row r="2303" spans="2:35" ht="21" customHeight="1" outlineLevel="4" x14ac:dyDescent="0.2">
      <c r="B2303" s="42">
        <v>1811</v>
      </c>
      <c r="C2303" s="5" t="s">
        <v>10189</v>
      </c>
      <c r="D2303" s="5" t="s">
        <v>10190</v>
      </c>
      <c r="E2303" s="6" t="s">
        <v>10191</v>
      </c>
      <c r="F2303" s="10"/>
      <c r="G2303" s="11" t="s">
        <v>10192</v>
      </c>
      <c r="H2303" s="12">
        <v>20</v>
      </c>
      <c r="I2303" s="13" t="s">
        <v>371</v>
      </c>
      <c r="J2303" s="13"/>
      <c r="K2303" s="13"/>
      <c r="L2303" s="4">
        <v>2</v>
      </c>
      <c r="M2303" s="14">
        <f>399*(1-P3/100)</f>
        <v>399</v>
      </c>
      <c r="N2303" s="15"/>
      <c r="O2303" s="13">
        <f>M2303*N2303</f>
        <v>0</v>
      </c>
      <c r="P2303" s="22">
        <f>0.161*N2303</f>
        <v>0</v>
      </c>
      <c r="Q2303" s="23">
        <f>0.00031*N2303</f>
        <v>0</v>
      </c>
      <c r="R2303" s="24"/>
      <c r="S2303" s="25" t="s">
        <v>10193</v>
      </c>
      <c r="T2303" s="25" t="s">
        <v>43</v>
      </c>
      <c r="U2303" s="5" t="s">
        <v>10194</v>
      </c>
      <c r="V2303" s="5"/>
      <c r="W2303" s="5" t="s">
        <v>46</v>
      </c>
      <c r="X2303" s="5"/>
      <c r="Y2303" s="5"/>
      <c r="Z2303" s="5" t="str">
        <f>HYPERLINK("https://knigipp.ru/api/getInfo/image/36ec521a-c0fd-11ee-a25a-00155d82e908")</f>
        <v>https://knigipp.ru/api/getInfo/image/36ec521a-c0fd-11ee-a25a-00155d82e908</v>
      </c>
      <c r="AA2303" s="33">
        <v>96</v>
      </c>
      <c r="AB2303" s="5" t="s">
        <v>47</v>
      </c>
      <c r="AC2303" s="5" t="s">
        <v>48</v>
      </c>
      <c r="AD2303" s="5"/>
      <c r="AE2303" s="5" t="s">
        <v>49</v>
      </c>
      <c r="AF2303" s="5"/>
      <c r="AG2303" s="5"/>
      <c r="AH2303" s="5" t="s">
        <v>10195</v>
      </c>
    </row>
    <row r="2304" spans="2:35" ht="21" customHeight="1" outlineLevel="4" x14ac:dyDescent="0.2">
      <c r="B2304" s="42">
        <v>1812</v>
      </c>
      <c r="C2304" s="5" t="s">
        <v>10196</v>
      </c>
      <c r="D2304" s="5" t="s">
        <v>10197</v>
      </c>
      <c r="E2304" s="6" t="s">
        <v>10198</v>
      </c>
      <c r="F2304" s="10"/>
      <c r="G2304" s="11" t="s">
        <v>10199</v>
      </c>
      <c r="H2304" s="12">
        <v>20</v>
      </c>
      <c r="I2304" s="13" t="s">
        <v>371</v>
      </c>
      <c r="J2304" s="13"/>
      <c r="K2304" s="13"/>
      <c r="L2304" s="4">
        <v>2</v>
      </c>
      <c r="M2304" s="14">
        <f>399*(1-P3/100)</f>
        <v>399</v>
      </c>
      <c r="N2304" s="15"/>
      <c r="O2304" s="13">
        <f>M2304*N2304</f>
        <v>0</v>
      </c>
      <c r="P2304" s="22">
        <f>0.159*N2304</f>
        <v>0</v>
      </c>
      <c r="Q2304" s="23">
        <f>0.00025*N2304</f>
        <v>0</v>
      </c>
      <c r="R2304" s="24"/>
      <c r="S2304" s="25" t="s">
        <v>10200</v>
      </c>
      <c r="T2304" s="25" t="s">
        <v>43</v>
      </c>
      <c r="U2304" s="5" t="s">
        <v>10194</v>
      </c>
      <c r="V2304" s="5"/>
      <c r="W2304" s="5" t="s">
        <v>46</v>
      </c>
      <c r="X2304" s="5"/>
      <c r="Y2304" s="5"/>
      <c r="Z2304" s="5" t="str">
        <f>HYPERLINK("https://knigipp.ru/api/getInfo/image/6cfcaae7-c0fd-11ee-a25a-00155d82e908")</f>
        <v>https://knigipp.ru/api/getInfo/image/6cfcaae7-c0fd-11ee-a25a-00155d82e908</v>
      </c>
      <c r="AA2304" s="33">
        <v>96</v>
      </c>
      <c r="AB2304" s="5" t="s">
        <v>47</v>
      </c>
      <c r="AC2304" s="5" t="s">
        <v>48</v>
      </c>
      <c r="AD2304" s="5"/>
      <c r="AE2304" s="5" t="s">
        <v>49</v>
      </c>
      <c r="AF2304" s="5"/>
      <c r="AG2304" s="5"/>
      <c r="AH2304" s="5" t="s">
        <v>10195</v>
      </c>
    </row>
    <row r="2305" spans="2:34" ht="22.95" customHeight="1" outlineLevel="3" x14ac:dyDescent="0.2">
      <c r="B2305" s="74" t="s">
        <v>10201</v>
      </c>
      <c r="C2305" s="74"/>
      <c r="D2305" s="74"/>
    </row>
    <row r="2306" spans="2:34" ht="21" customHeight="1" outlineLevel="4" x14ac:dyDescent="0.2">
      <c r="B2306" s="42">
        <v>1813</v>
      </c>
      <c r="C2306" s="5" t="s">
        <v>10202</v>
      </c>
      <c r="D2306" s="5" t="s">
        <v>10203</v>
      </c>
      <c r="E2306" s="6" t="s">
        <v>10204</v>
      </c>
      <c r="F2306" s="10"/>
      <c r="G2306" s="11" t="s">
        <v>10205</v>
      </c>
      <c r="H2306" s="12">
        <v>8</v>
      </c>
      <c r="I2306" s="13" t="s">
        <v>41</v>
      </c>
      <c r="J2306" s="13"/>
      <c r="K2306" s="13"/>
      <c r="L2306" s="4">
        <v>2</v>
      </c>
      <c r="M2306" s="14">
        <f>349*(1-P3/100)</f>
        <v>349</v>
      </c>
      <c r="N2306" s="15"/>
      <c r="O2306" s="13">
        <f t="shared" ref="O2306:O2312" si="102">M2306*N2306</f>
        <v>0</v>
      </c>
      <c r="P2306" s="22">
        <f>0.304*N2306</f>
        <v>0</v>
      </c>
      <c r="Q2306" s="23">
        <f>0.00045*N2306</f>
        <v>0</v>
      </c>
      <c r="R2306" s="24"/>
      <c r="S2306" s="25" t="s">
        <v>10206</v>
      </c>
      <c r="T2306" s="25" t="s">
        <v>43</v>
      </c>
      <c r="U2306" s="5" t="s">
        <v>10207</v>
      </c>
      <c r="V2306" s="5" t="s">
        <v>10208</v>
      </c>
      <c r="W2306" s="5" t="s">
        <v>46</v>
      </c>
      <c r="X2306" s="5"/>
      <c r="Y2306" s="5"/>
      <c r="Z2306" s="5" t="str">
        <f>HYPERLINK("https://knigipp.ru/api/getInfo/image/15f33ed4-9de8-11eb-a201-ac1f6b442185")</f>
        <v>https://knigipp.ru/api/getInfo/image/15f33ed4-9de8-11eb-a201-ac1f6b442185</v>
      </c>
      <c r="AA2306" s="33">
        <v>48</v>
      </c>
      <c r="AB2306" s="5"/>
      <c r="AC2306" s="5" t="s">
        <v>86</v>
      </c>
      <c r="AD2306" s="5"/>
      <c r="AE2306" s="5" t="s">
        <v>49</v>
      </c>
      <c r="AF2306" s="5"/>
      <c r="AG2306" s="5"/>
      <c r="AH2306" s="5" t="s">
        <v>10209</v>
      </c>
    </row>
    <row r="2307" spans="2:34" ht="21" customHeight="1" outlineLevel="4" x14ac:dyDescent="0.2">
      <c r="B2307" s="42">
        <v>1814</v>
      </c>
      <c r="C2307" s="5" t="s">
        <v>10210</v>
      </c>
      <c r="D2307" s="5" t="s">
        <v>10211</v>
      </c>
      <c r="E2307" s="6" t="s">
        <v>10212</v>
      </c>
      <c r="F2307" s="10"/>
      <c r="G2307" s="11" t="s">
        <v>10213</v>
      </c>
      <c r="H2307" s="12">
        <v>8</v>
      </c>
      <c r="I2307" s="13" t="s">
        <v>41</v>
      </c>
      <c r="J2307" s="13"/>
      <c r="K2307" s="13"/>
      <c r="L2307" s="4">
        <v>2</v>
      </c>
      <c r="M2307" s="14">
        <f>349*(1-P3/100)</f>
        <v>349</v>
      </c>
      <c r="N2307" s="15"/>
      <c r="O2307" s="13">
        <f t="shared" si="102"/>
        <v>0</v>
      </c>
      <c r="P2307" s="22">
        <f>0.289*N2307</f>
        <v>0</v>
      </c>
      <c r="Q2307" s="23">
        <f>0.00056*N2307</f>
        <v>0</v>
      </c>
      <c r="R2307" s="24"/>
      <c r="S2307" s="25" t="s">
        <v>10214</v>
      </c>
      <c r="T2307" s="25" t="s">
        <v>43</v>
      </c>
      <c r="U2307" s="5" t="s">
        <v>9154</v>
      </c>
      <c r="V2307" s="5" t="s">
        <v>10215</v>
      </c>
      <c r="W2307" s="5" t="s">
        <v>46</v>
      </c>
      <c r="X2307" s="5"/>
      <c r="Y2307" s="5"/>
      <c r="Z2307" s="5" t="str">
        <f>HYPERLINK("https://knigipp.ru/api/getInfo/image/40d679cc-9de8-11eb-a201-ac1f6b442185")</f>
        <v>https://knigipp.ru/api/getInfo/image/40d679cc-9de8-11eb-a201-ac1f6b442185</v>
      </c>
      <c r="AA2307" s="33">
        <v>48</v>
      </c>
      <c r="AB2307" s="5"/>
      <c r="AC2307" s="5" t="s">
        <v>86</v>
      </c>
      <c r="AD2307" s="5"/>
      <c r="AE2307" s="5" t="s">
        <v>49</v>
      </c>
      <c r="AF2307" s="5"/>
      <c r="AG2307" s="5"/>
      <c r="AH2307" s="5" t="s">
        <v>10209</v>
      </c>
    </row>
    <row r="2308" spans="2:34" ht="21" customHeight="1" outlineLevel="4" x14ac:dyDescent="0.2">
      <c r="B2308" s="42">
        <v>1815</v>
      </c>
      <c r="C2308" s="5" t="s">
        <v>10216</v>
      </c>
      <c r="D2308" s="5" t="s">
        <v>10217</v>
      </c>
      <c r="E2308" s="6" t="s">
        <v>10218</v>
      </c>
      <c r="F2308" s="10"/>
      <c r="G2308" s="11" t="s">
        <v>10219</v>
      </c>
      <c r="H2308" s="12">
        <v>8</v>
      </c>
      <c r="I2308" s="13" t="s">
        <v>41</v>
      </c>
      <c r="J2308" s="13"/>
      <c r="K2308" s="13"/>
      <c r="L2308" s="4">
        <v>2</v>
      </c>
      <c r="M2308" s="14">
        <f>349*(1-P3/100)</f>
        <v>349</v>
      </c>
      <c r="N2308" s="15"/>
      <c r="O2308" s="13">
        <f t="shared" si="102"/>
        <v>0</v>
      </c>
      <c r="P2308" s="36">
        <f>0.3*N2308</f>
        <v>0</v>
      </c>
      <c r="Q2308" s="23">
        <f>0.00031*N2308</f>
        <v>0</v>
      </c>
      <c r="R2308" s="24"/>
      <c r="S2308" s="25" t="s">
        <v>10220</v>
      </c>
      <c r="T2308" s="25" t="s">
        <v>43</v>
      </c>
      <c r="U2308" s="5" t="s">
        <v>9154</v>
      </c>
      <c r="V2308" s="5" t="s">
        <v>10221</v>
      </c>
      <c r="W2308" s="5" t="s">
        <v>46</v>
      </c>
      <c r="X2308" s="5"/>
      <c r="Y2308" s="5"/>
      <c r="Z2308" s="5" t="str">
        <f>HYPERLINK("https://knigipp.ru/api/getInfo/image/676ce1f0-da67-11eb-a209-ac1f6b442185")</f>
        <v>https://knigipp.ru/api/getInfo/image/676ce1f0-da67-11eb-a209-ac1f6b442185</v>
      </c>
      <c r="AA2308" s="33">
        <v>48</v>
      </c>
      <c r="AB2308" s="5"/>
      <c r="AC2308" s="5" t="s">
        <v>86</v>
      </c>
      <c r="AD2308" s="5"/>
      <c r="AE2308" s="5" t="s">
        <v>49</v>
      </c>
      <c r="AF2308" s="5"/>
      <c r="AG2308" s="5"/>
      <c r="AH2308" s="5" t="s">
        <v>10209</v>
      </c>
    </row>
    <row r="2309" spans="2:34" ht="21" customHeight="1" outlineLevel="4" x14ac:dyDescent="0.2">
      <c r="B2309" s="42">
        <v>1816</v>
      </c>
      <c r="C2309" s="5" t="s">
        <v>10222</v>
      </c>
      <c r="D2309" s="5" t="s">
        <v>10223</v>
      </c>
      <c r="E2309" s="6" t="s">
        <v>10224</v>
      </c>
      <c r="F2309" s="10"/>
      <c r="G2309" s="11" t="s">
        <v>10225</v>
      </c>
      <c r="H2309" s="12">
        <v>8</v>
      </c>
      <c r="I2309" s="13" t="s">
        <v>41</v>
      </c>
      <c r="J2309" s="13"/>
      <c r="K2309" s="13"/>
      <c r="L2309" s="4">
        <v>2</v>
      </c>
      <c r="M2309" s="14">
        <f>349*(1-P3/100)</f>
        <v>349</v>
      </c>
      <c r="N2309" s="15"/>
      <c r="O2309" s="13">
        <f t="shared" si="102"/>
        <v>0</v>
      </c>
      <c r="P2309" s="22">
        <f>0.295*N2309</f>
        <v>0</v>
      </c>
      <c r="Q2309" s="23">
        <f>0.00064*N2309</f>
        <v>0</v>
      </c>
      <c r="R2309" s="24"/>
      <c r="S2309" s="25" t="s">
        <v>10226</v>
      </c>
      <c r="T2309" s="25" t="s">
        <v>43</v>
      </c>
      <c r="U2309" s="5" t="s">
        <v>10227</v>
      </c>
      <c r="V2309" s="5" t="s">
        <v>10228</v>
      </c>
      <c r="W2309" s="5" t="s">
        <v>46</v>
      </c>
      <c r="X2309" s="5"/>
      <c r="Y2309" s="5"/>
      <c r="Z2309" s="5" t="str">
        <f>HYPERLINK("https://knigipp.ru/api/getInfo/image/c568038b-da67-11eb-a209-ac1f6b442185")</f>
        <v>https://knigipp.ru/api/getInfo/image/c568038b-da67-11eb-a209-ac1f6b442185</v>
      </c>
      <c r="AA2309" s="33">
        <v>48</v>
      </c>
      <c r="AB2309" s="5"/>
      <c r="AC2309" s="5" t="s">
        <v>86</v>
      </c>
      <c r="AD2309" s="5"/>
      <c r="AE2309" s="5" t="s">
        <v>49</v>
      </c>
      <c r="AF2309" s="5"/>
      <c r="AG2309" s="5"/>
      <c r="AH2309" s="5" t="s">
        <v>10209</v>
      </c>
    </row>
    <row r="2310" spans="2:34" ht="21" customHeight="1" outlineLevel="4" x14ac:dyDescent="0.2">
      <c r="B2310" s="42">
        <v>1817</v>
      </c>
      <c r="C2310" s="5" t="s">
        <v>10229</v>
      </c>
      <c r="D2310" s="5" t="s">
        <v>10230</v>
      </c>
      <c r="E2310" s="6" t="s">
        <v>10231</v>
      </c>
      <c r="F2310" s="10"/>
      <c r="G2310" s="11" t="s">
        <v>10232</v>
      </c>
      <c r="H2310" s="12">
        <v>8</v>
      </c>
      <c r="I2310" s="13" t="s">
        <v>41</v>
      </c>
      <c r="J2310" s="13"/>
      <c r="K2310" s="13"/>
      <c r="L2310" s="4">
        <v>2</v>
      </c>
      <c r="M2310" s="14">
        <f>349*(1-P3/100)</f>
        <v>349</v>
      </c>
      <c r="N2310" s="15"/>
      <c r="O2310" s="13">
        <f t="shared" si="102"/>
        <v>0</v>
      </c>
      <c r="P2310" s="22">
        <f>0.303*N2310</f>
        <v>0</v>
      </c>
      <c r="Q2310" s="23">
        <f>0.00037*N2310</f>
        <v>0</v>
      </c>
      <c r="R2310" s="24"/>
      <c r="S2310" s="25" t="s">
        <v>10233</v>
      </c>
      <c r="T2310" s="25" t="s">
        <v>43</v>
      </c>
      <c r="U2310" s="5" t="s">
        <v>9154</v>
      </c>
      <c r="V2310" s="5" t="s">
        <v>10234</v>
      </c>
      <c r="W2310" s="5" t="s">
        <v>46</v>
      </c>
      <c r="X2310" s="5"/>
      <c r="Y2310" s="5"/>
      <c r="Z2310" s="5" t="str">
        <f>HYPERLINK("https://knigipp.ru/api/getInfo/image/f2b5876e-bab2-11ea-a249-ac1f6b442184")</f>
        <v>https://knigipp.ru/api/getInfo/image/f2b5876e-bab2-11ea-a249-ac1f6b442184</v>
      </c>
      <c r="AA2310" s="33">
        <v>48</v>
      </c>
      <c r="AB2310" s="5"/>
      <c r="AC2310" s="5" t="s">
        <v>86</v>
      </c>
      <c r="AD2310" s="5"/>
      <c r="AE2310" s="5" t="s">
        <v>49</v>
      </c>
      <c r="AF2310" s="5"/>
      <c r="AG2310" s="5"/>
      <c r="AH2310" s="5" t="s">
        <v>10209</v>
      </c>
    </row>
    <row r="2311" spans="2:34" ht="21" customHeight="1" outlineLevel="4" x14ac:dyDescent="0.2">
      <c r="B2311" s="42">
        <v>1818</v>
      </c>
      <c r="C2311" s="5" t="s">
        <v>10235</v>
      </c>
      <c r="D2311" s="5" t="s">
        <v>10236</v>
      </c>
      <c r="E2311" s="6" t="s">
        <v>10237</v>
      </c>
      <c r="F2311" s="10"/>
      <c r="G2311" s="11" t="s">
        <v>10238</v>
      </c>
      <c r="H2311" s="12">
        <v>8</v>
      </c>
      <c r="I2311" s="13" t="s">
        <v>41</v>
      </c>
      <c r="J2311" s="13"/>
      <c r="K2311" s="13"/>
      <c r="L2311" s="4">
        <v>2</v>
      </c>
      <c r="M2311" s="14">
        <f>349*(1-P3/100)</f>
        <v>349</v>
      </c>
      <c r="N2311" s="15"/>
      <c r="O2311" s="13">
        <f t="shared" si="102"/>
        <v>0</v>
      </c>
      <c r="P2311" s="22">
        <f>2.459*N2311</f>
        <v>0</v>
      </c>
      <c r="Q2311" s="23">
        <f>0.00371*N2311</f>
        <v>0</v>
      </c>
      <c r="R2311" s="24"/>
      <c r="S2311" s="25" t="s">
        <v>10239</v>
      </c>
      <c r="T2311" s="25" t="s">
        <v>43</v>
      </c>
      <c r="U2311" s="5" t="s">
        <v>10227</v>
      </c>
      <c r="V2311" s="5" t="s">
        <v>10240</v>
      </c>
      <c r="W2311" s="5" t="s">
        <v>46</v>
      </c>
      <c r="X2311" s="5"/>
      <c r="Y2311" s="5"/>
      <c r="Z2311" s="5" t="str">
        <f>HYPERLINK("https://knigipp.ru/api/getInfo/image/9005acdd-da67-11eb-a209-ac1f6b442185")</f>
        <v>https://knigipp.ru/api/getInfo/image/9005acdd-da67-11eb-a209-ac1f6b442185</v>
      </c>
      <c r="AA2311" s="33">
        <v>48</v>
      </c>
      <c r="AB2311" s="5"/>
      <c r="AC2311" s="5" t="s">
        <v>86</v>
      </c>
      <c r="AD2311" s="5"/>
      <c r="AE2311" s="5" t="s">
        <v>49</v>
      </c>
      <c r="AF2311" s="5"/>
      <c r="AG2311" s="5"/>
      <c r="AH2311" s="5" t="s">
        <v>10209</v>
      </c>
    </row>
    <row r="2312" spans="2:34" ht="21" customHeight="1" outlineLevel="4" x14ac:dyDescent="0.2">
      <c r="B2312" s="42">
        <v>1819</v>
      </c>
      <c r="C2312" s="5" t="s">
        <v>10241</v>
      </c>
      <c r="D2312" s="5" t="s">
        <v>10242</v>
      </c>
      <c r="E2312" s="6" t="s">
        <v>10243</v>
      </c>
      <c r="F2312" s="10"/>
      <c r="G2312" s="11" t="s">
        <v>10244</v>
      </c>
      <c r="H2312" s="12">
        <v>8</v>
      </c>
      <c r="I2312" s="13" t="s">
        <v>41</v>
      </c>
      <c r="J2312" s="13"/>
      <c r="K2312" s="13"/>
      <c r="L2312" s="4">
        <v>2</v>
      </c>
      <c r="M2312" s="14">
        <f>349*(1-P3/100)</f>
        <v>349</v>
      </c>
      <c r="N2312" s="15"/>
      <c r="O2312" s="13">
        <f t="shared" si="102"/>
        <v>0</v>
      </c>
      <c r="P2312" s="22">
        <f>0.302*N2312</f>
        <v>0</v>
      </c>
      <c r="Q2312" s="23">
        <f>0.00044*N2312</f>
        <v>0</v>
      </c>
      <c r="R2312" s="24"/>
      <c r="S2312" s="25" t="s">
        <v>10245</v>
      </c>
      <c r="T2312" s="25" t="s">
        <v>43</v>
      </c>
      <c r="U2312" s="5" t="s">
        <v>10246</v>
      </c>
      <c r="V2312" s="5" t="s">
        <v>10247</v>
      </c>
      <c r="W2312" s="5" t="s">
        <v>46</v>
      </c>
      <c r="X2312" s="5"/>
      <c r="Y2312" s="5"/>
      <c r="Z2312" s="5" t="str">
        <f>HYPERLINK("https://knigipp.ru/api/getInfo/image/d33d4070-9de7-11eb-a201-ac1f6b442185")</f>
        <v>https://knigipp.ru/api/getInfo/image/d33d4070-9de7-11eb-a201-ac1f6b442185</v>
      </c>
      <c r="AA2312" s="33">
        <v>48</v>
      </c>
      <c r="AB2312" s="5"/>
      <c r="AC2312" s="5" t="s">
        <v>86</v>
      </c>
      <c r="AD2312" s="5"/>
      <c r="AE2312" s="5" t="s">
        <v>49</v>
      </c>
      <c r="AF2312" s="5"/>
      <c r="AG2312" s="5"/>
      <c r="AH2312" s="5" t="s">
        <v>10209</v>
      </c>
    </row>
    <row r="2313" spans="2:34" ht="22.95" customHeight="1" outlineLevel="3" x14ac:dyDescent="0.2">
      <c r="B2313" s="74" t="s">
        <v>10248</v>
      </c>
      <c r="C2313" s="74"/>
      <c r="D2313" s="74"/>
    </row>
    <row r="2314" spans="2:34" ht="21" customHeight="1" outlineLevel="4" x14ac:dyDescent="0.2">
      <c r="B2314" s="42">
        <v>1820</v>
      </c>
      <c r="C2314" s="5" t="s">
        <v>10249</v>
      </c>
      <c r="D2314" s="5" t="s">
        <v>10250</v>
      </c>
      <c r="E2314" s="6" t="s">
        <v>10251</v>
      </c>
      <c r="F2314" s="10"/>
      <c r="G2314" s="11" t="s">
        <v>10252</v>
      </c>
      <c r="H2314" s="12">
        <v>20</v>
      </c>
      <c r="I2314" s="13" t="s">
        <v>41</v>
      </c>
      <c r="J2314" s="13"/>
      <c r="K2314" s="13"/>
      <c r="L2314" s="4">
        <v>3</v>
      </c>
      <c r="M2314" s="14">
        <f>199*(1-P3/100)</f>
        <v>199</v>
      </c>
      <c r="N2314" s="15"/>
      <c r="O2314" s="13">
        <f>M2314*N2314</f>
        <v>0</v>
      </c>
      <c r="P2314" s="22">
        <f>0.206*N2314</f>
        <v>0</v>
      </c>
      <c r="Q2314" s="23">
        <f>0.00016*N2314</f>
        <v>0</v>
      </c>
      <c r="R2314" s="24"/>
      <c r="S2314" s="25" t="s">
        <v>10253</v>
      </c>
      <c r="T2314" s="25" t="s">
        <v>43</v>
      </c>
      <c r="U2314" s="5" t="s">
        <v>10254</v>
      </c>
      <c r="V2314" s="5"/>
      <c r="W2314" s="5" t="s">
        <v>46</v>
      </c>
      <c r="X2314" s="5"/>
      <c r="Y2314" s="5"/>
      <c r="Z2314" s="5" t="str">
        <f>HYPERLINK("https://knigipp.ru/api/getInfo/image/419ea642-49e1-11eb-a25e-ac1f6b442184")</f>
        <v>https://knigipp.ru/api/getInfo/image/419ea642-49e1-11eb-a25e-ac1f6b442184</v>
      </c>
      <c r="AA2314" s="33">
        <v>64</v>
      </c>
      <c r="AB2314" s="5"/>
      <c r="AC2314" s="5" t="s">
        <v>86</v>
      </c>
      <c r="AD2314" s="5"/>
      <c r="AE2314" s="5" t="s">
        <v>49</v>
      </c>
      <c r="AF2314" s="5"/>
      <c r="AG2314" s="5"/>
      <c r="AH2314" s="5" t="s">
        <v>10255</v>
      </c>
    </row>
    <row r="2315" spans="2:34" ht="21" customHeight="1" outlineLevel="4" x14ac:dyDescent="0.2">
      <c r="B2315" s="42">
        <v>1821</v>
      </c>
      <c r="C2315" s="5" t="s">
        <v>10256</v>
      </c>
      <c r="D2315" s="5" t="s">
        <v>10257</v>
      </c>
      <c r="E2315" s="6" t="s">
        <v>10258</v>
      </c>
      <c r="F2315" s="10"/>
      <c r="G2315" s="11" t="s">
        <v>10259</v>
      </c>
      <c r="H2315" s="12">
        <v>20</v>
      </c>
      <c r="I2315" s="13" t="s">
        <v>371</v>
      </c>
      <c r="J2315" s="13"/>
      <c r="K2315" s="13"/>
      <c r="L2315" s="4">
        <v>3</v>
      </c>
      <c r="M2315" s="14">
        <f>199*(1-P3/100)</f>
        <v>199</v>
      </c>
      <c r="N2315" s="15"/>
      <c r="O2315" s="13">
        <f>M2315*N2315</f>
        <v>0</v>
      </c>
      <c r="P2315" s="22">
        <f>0.205*N2315</f>
        <v>0</v>
      </c>
      <c r="Q2315" s="23">
        <f>0.00035*N2315</f>
        <v>0</v>
      </c>
      <c r="R2315" s="24"/>
      <c r="S2315" s="25" t="s">
        <v>10260</v>
      </c>
      <c r="T2315" s="25" t="s">
        <v>43</v>
      </c>
      <c r="U2315" s="5" t="s">
        <v>10261</v>
      </c>
      <c r="V2315" s="5"/>
      <c r="W2315" s="5" t="s">
        <v>46</v>
      </c>
      <c r="X2315" s="5" t="s">
        <v>10262</v>
      </c>
      <c r="Y2315" s="5"/>
      <c r="Z2315" s="5" t="str">
        <f>HYPERLINK("https://knigipp.ru/api/getInfo/image/d263ba1c-6fad-11e8-84c9-5cf3fc4a2490")</f>
        <v>https://knigipp.ru/api/getInfo/image/d263ba1c-6fad-11e8-84c9-5cf3fc4a2490</v>
      </c>
      <c r="AA2315" s="33">
        <v>64</v>
      </c>
      <c r="AB2315" s="5"/>
      <c r="AC2315" s="5" t="s">
        <v>86</v>
      </c>
      <c r="AD2315" s="5"/>
      <c r="AE2315" s="5" t="s">
        <v>49</v>
      </c>
      <c r="AF2315" s="5"/>
      <c r="AG2315" s="5"/>
      <c r="AH2315" s="5" t="s">
        <v>10255</v>
      </c>
    </row>
    <row r="2316" spans="2:34" ht="21" customHeight="1" outlineLevel="4" x14ac:dyDescent="0.2">
      <c r="B2316" s="42">
        <v>1822</v>
      </c>
      <c r="C2316" s="5" t="s">
        <v>10263</v>
      </c>
      <c r="D2316" s="5" t="s">
        <v>10264</v>
      </c>
      <c r="E2316" s="6" t="s">
        <v>10265</v>
      </c>
      <c r="F2316" s="10"/>
      <c r="G2316" s="11" t="s">
        <v>10266</v>
      </c>
      <c r="H2316" s="12">
        <v>20</v>
      </c>
      <c r="I2316" s="13" t="s">
        <v>41</v>
      </c>
      <c r="J2316" s="13"/>
      <c r="K2316" s="13"/>
      <c r="L2316" s="4">
        <v>3</v>
      </c>
      <c r="M2316" s="14">
        <f>199*(1-P3/100)</f>
        <v>199</v>
      </c>
      <c r="N2316" s="15"/>
      <c r="O2316" s="13">
        <f>M2316*N2316</f>
        <v>0</v>
      </c>
      <c r="P2316" s="22">
        <f>0.206*N2316</f>
        <v>0</v>
      </c>
      <c r="Q2316" s="23">
        <f>0.00025*N2316</f>
        <v>0</v>
      </c>
      <c r="R2316" s="24"/>
      <c r="S2316" s="25" t="s">
        <v>10267</v>
      </c>
      <c r="T2316" s="25" t="s">
        <v>43</v>
      </c>
      <c r="U2316" s="5" t="s">
        <v>10268</v>
      </c>
      <c r="V2316" s="5"/>
      <c r="W2316" s="5" t="s">
        <v>46</v>
      </c>
      <c r="X2316" s="5" t="s">
        <v>10262</v>
      </c>
      <c r="Y2316" s="5"/>
      <c r="Z2316" s="5" t="str">
        <f>HYPERLINK("https://knigipp.ru/api/getInfo/image/deb8195c-6fad-11e8-84c9-5cf3fc4a2490")</f>
        <v>https://knigipp.ru/api/getInfo/image/deb8195c-6fad-11e8-84c9-5cf3fc4a2490</v>
      </c>
      <c r="AA2316" s="33">
        <v>64</v>
      </c>
      <c r="AB2316" s="5"/>
      <c r="AC2316" s="5" t="s">
        <v>86</v>
      </c>
      <c r="AD2316" s="5"/>
      <c r="AE2316" s="5" t="s">
        <v>49</v>
      </c>
      <c r="AF2316" s="5"/>
      <c r="AG2316" s="5"/>
      <c r="AH2316" s="5" t="s">
        <v>10255</v>
      </c>
    </row>
    <row r="2317" spans="2:34" ht="22.95" customHeight="1" outlineLevel="3" x14ac:dyDescent="0.2">
      <c r="B2317" s="74" t="s">
        <v>10269</v>
      </c>
      <c r="C2317" s="74"/>
      <c r="D2317" s="74"/>
    </row>
    <row r="2318" spans="2:34" ht="21" customHeight="1" outlineLevel="4" x14ac:dyDescent="0.2">
      <c r="B2318" s="42">
        <v>1823</v>
      </c>
      <c r="C2318" s="5" t="s">
        <v>10270</v>
      </c>
      <c r="D2318" s="5" t="s">
        <v>10271</v>
      </c>
      <c r="E2318" s="6" t="s">
        <v>10272</v>
      </c>
      <c r="F2318" s="10"/>
      <c r="G2318" s="11" t="s">
        <v>10273</v>
      </c>
      <c r="H2318" s="12">
        <v>8</v>
      </c>
      <c r="I2318" s="13" t="s">
        <v>41</v>
      </c>
      <c r="J2318" s="13"/>
      <c r="K2318" s="13"/>
      <c r="L2318" s="4">
        <v>2</v>
      </c>
      <c r="M2318" s="14">
        <f>487*(1-P3/100)</f>
        <v>487</v>
      </c>
      <c r="N2318" s="15"/>
      <c r="O2318" s="13">
        <f t="shared" ref="O2318:O2330" si="103">M2318*N2318</f>
        <v>0</v>
      </c>
      <c r="P2318" s="13">
        <v>0</v>
      </c>
      <c r="Q2318" s="13">
        <v>0</v>
      </c>
      <c r="R2318" s="24"/>
      <c r="S2318" s="25" t="s">
        <v>10274</v>
      </c>
      <c r="T2318" s="25" t="s">
        <v>43</v>
      </c>
      <c r="U2318" s="5" t="s">
        <v>10275</v>
      </c>
      <c r="V2318" s="5"/>
      <c r="W2318" s="5" t="s">
        <v>2731</v>
      </c>
      <c r="X2318" s="5"/>
      <c r="Y2318" s="5"/>
      <c r="Z2318" s="5" t="str">
        <f>HYPERLINK("https://knigipp.ru/api/getInfo/image/94a26a5c-c397-11eb-a206-ac1f6b442185")</f>
        <v>https://knigipp.ru/api/getInfo/image/94a26a5c-c397-11eb-a206-ac1f6b442185</v>
      </c>
      <c r="AA2318" s="33">
        <v>64</v>
      </c>
      <c r="AB2318" s="5"/>
      <c r="AC2318" s="5" t="s">
        <v>86</v>
      </c>
      <c r="AD2318" s="5"/>
      <c r="AE2318" s="5" t="s">
        <v>49</v>
      </c>
      <c r="AF2318" s="5"/>
      <c r="AG2318" s="5"/>
      <c r="AH2318" s="5" t="s">
        <v>10276</v>
      </c>
    </row>
    <row r="2319" spans="2:34" ht="21" customHeight="1" outlineLevel="4" x14ac:dyDescent="0.2">
      <c r="B2319" s="42">
        <v>1824</v>
      </c>
      <c r="C2319" s="5" t="s">
        <v>10277</v>
      </c>
      <c r="D2319" s="5" t="s">
        <v>10278</v>
      </c>
      <c r="E2319" s="6" t="s">
        <v>10279</v>
      </c>
      <c r="F2319" s="10"/>
      <c r="G2319" s="11" t="s">
        <v>10280</v>
      </c>
      <c r="H2319" s="12">
        <v>8</v>
      </c>
      <c r="I2319" s="13" t="s">
        <v>41</v>
      </c>
      <c r="J2319" s="13"/>
      <c r="K2319" s="13"/>
      <c r="L2319" s="4">
        <v>2</v>
      </c>
      <c r="M2319" s="14">
        <f>487*(1-P3/100)</f>
        <v>487</v>
      </c>
      <c r="N2319" s="15"/>
      <c r="O2319" s="13">
        <f t="shared" si="103"/>
        <v>0</v>
      </c>
      <c r="P2319" s="13">
        <v>0</v>
      </c>
      <c r="Q2319" s="13">
        <v>0</v>
      </c>
      <c r="R2319" s="24"/>
      <c r="S2319" s="25" t="s">
        <v>10281</v>
      </c>
      <c r="T2319" s="25" t="s">
        <v>43</v>
      </c>
      <c r="U2319" s="5" t="s">
        <v>10194</v>
      </c>
      <c r="V2319" s="5"/>
      <c r="W2319" s="5" t="s">
        <v>2731</v>
      </c>
      <c r="X2319" s="5"/>
      <c r="Y2319" s="5"/>
      <c r="Z2319" s="5" t="str">
        <f>HYPERLINK("https://knigipp.ru/api/getInfo/image/1a97854c-c397-11eb-a206-ac1f6b442185")</f>
        <v>https://knigipp.ru/api/getInfo/image/1a97854c-c397-11eb-a206-ac1f6b442185</v>
      </c>
      <c r="AA2319" s="33">
        <v>64</v>
      </c>
      <c r="AB2319" s="5"/>
      <c r="AC2319" s="5" t="s">
        <v>86</v>
      </c>
      <c r="AD2319" s="5"/>
      <c r="AE2319" s="5" t="s">
        <v>49</v>
      </c>
      <c r="AF2319" s="5"/>
      <c r="AG2319" s="5"/>
      <c r="AH2319" s="5" t="s">
        <v>10276</v>
      </c>
    </row>
    <row r="2320" spans="2:34" ht="21" customHeight="1" outlineLevel="4" x14ac:dyDescent="0.2">
      <c r="B2320" s="42">
        <v>1825</v>
      </c>
      <c r="C2320" s="5" t="s">
        <v>10282</v>
      </c>
      <c r="D2320" s="5" t="s">
        <v>10283</v>
      </c>
      <c r="E2320" s="6" t="s">
        <v>10284</v>
      </c>
      <c r="F2320" s="10"/>
      <c r="G2320" s="11" t="s">
        <v>10285</v>
      </c>
      <c r="H2320" s="12">
        <v>8</v>
      </c>
      <c r="I2320" s="13" t="s">
        <v>41</v>
      </c>
      <c r="J2320" s="13"/>
      <c r="K2320" s="13"/>
      <c r="L2320" s="4">
        <v>2</v>
      </c>
      <c r="M2320" s="14">
        <f>487*(1-P3/100)</f>
        <v>487</v>
      </c>
      <c r="N2320" s="15"/>
      <c r="O2320" s="13">
        <f t="shared" si="103"/>
        <v>0</v>
      </c>
      <c r="P2320" s="13">
        <v>0</v>
      </c>
      <c r="Q2320" s="13">
        <v>0</v>
      </c>
      <c r="R2320" s="24"/>
      <c r="S2320" s="25" t="s">
        <v>10286</v>
      </c>
      <c r="T2320" s="25" t="s">
        <v>43</v>
      </c>
      <c r="U2320" s="5" t="s">
        <v>10194</v>
      </c>
      <c r="V2320" s="5"/>
      <c r="W2320" s="5" t="s">
        <v>2731</v>
      </c>
      <c r="X2320" s="5"/>
      <c r="Y2320" s="5"/>
      <c r="Z2320" s="5" t="str">
        <f>HYPERLINK("https://knigipp.ru/api/getInfo/image/8d928133-c398-11eb-a206-ac1f6b442185")</f>
        <v>https://knigipp.ru/api/getInfo/image/8d928133-c398-11eb-a206-ac1f6b442185</v>
      </c>
      <c r="AA2320" s="33">
        <v>64</v>
      </c>
      <c r="AB2320" s="5"/>
      <c r="AC2320" s="5" t="s">
        <v>86</v>
      </c>
      <c r="AD2320" s="5"/>
      <c r="AE2320" s="5" t="s">
        <v>49</v>
      </c>
      <c r="AF2320" s="5"/>
      <c r="AG2320" s="5"/>
      <c r="AH2320" s="5" t="s">
        <v>10276</v>
      </c>
    </row>
    <row r="2321" spans="2:34" ht="21" customHeight="1" outlineLevel="4" x14ac:dyDescent="0.2">
      <c r="B2321" s="42">
        <v>1826</v>
      </c>
      <c r="C2321" s="5" t="s">
        <v>10287</v>
      </c>
      <c r="D2321" s="5" t="s">
        <v>10288</v>
      </c>
      <c r="E2321" s="6" t="s">
        <v>10289</v>
      </c>
      <c r="F2321" s="10"/>
      <c r="G2321" s="11" t="s">
        <v>10290</v>
      </c>
      <c r="H2321" s="12">
        <v>8</v>
      </c>
      <c r="I2321" s="13" t="s">
        <v>41</v>
      </c>
      <c r="J2321" s="13"/>
      <c r="K2321" s="13"/>
      <c r="L2321" s="4">
        <v>2</v>
      </c>
      <c r="M2321" s="14">
        <f>487*(1-P3/100)</f>
        <v>487</v>
      </c>
      <c r="N2321" s="15"/>
      <c r="O2321" s="13">
        <f t="shared" si="103"/>
        <v>0</v>
      </c>
      <c r="P2321" s="13">
        <v>0</v>
      </c>
      <c r="Q2321" s="13">
        <v>0</v>
      </c>
      <c r="R2321" s="24"/>
      <c r="S2321" s="25" t="s">
        <v>10291</v>
      </c>
      <c r="T2321" s="25" t="s">
        <v>43</v>
      </c>
      <c r="U2321" s="5" t="s">
        <v>10292</v>
      </c>
      <c r="V2321" s="5"/>
      <c r="W2321" s="5" t="s">
        <v>2731</v>
      </c>
      <c r="X2321" s="5"/>
      <c r="Y2321" s="5"/>
      <c r="Z2321" s="5" t="str">
        <f>HYPERLINK("https://knigipp.ru/api/getInfo/image/dcdf46b7-c398-11eb-a206-ac1f6b442185")</f>
        <v>https://knigipp.ru/api/getInfo/image/dcdf46b7-c398-11eb-a206-ac1f6b442185</v>
      </c>
      <c r="AA2321" s="33">
        <v>64</v>
      </c>
      <c r="AB2321" s="5"/>
      <c r="AC2321" s="5" t="s">
        <v>86</v>
      </c>
      <c r="AD2321" s="5"/>
      <c r="AE2321" s="5" t="s">
        <v>49</v>
      </c>
      <c r="AF2321" s="5"/>
      <c r="AG2321" s="5"/>
      <c r="AH2321" s="5" t="s">
        <v>10276</v>
      </c>
    </row>
    <row r="2322" spans="2:34" ht="21" customHeight="1" outlineLevel="4" x14ac:dyDescent="0.2">
      <c r="B2322" s="42">
        <v>1827</v>
      </c>
      <c r="C2322" s="5" t="s">
        <v>10293</v>
      </c>
      <c r="D2322" s="5" t="s">
        <v>10294</v>
      </c>
      <c r="E2322" s="6" t="s">
        <v>10295</v>
      </c>
      <c r="F2322" s="10"/>
      <c r="G2322" s="11" t="s">
        <v>10296</v>
      </c>
      <c r="H2322" s="12">
        <v>8</v>
      </c>
      <c r="I2322" s="13" t="s">
        <v>41</v>
      </c>
      <c r="J2322" s="13"/>
      <c r="K2322" s="13"/>
      <c r="L2322" s="4">
        <v>2</v>
      </c>
      <c r="M2322" s="14">
        <f>487*(1-P3/100)</f>
        <v>487</v>
      </c>
      <c r="N2322" s="15"/>
      <c r="O2322" s="13">
        <f t="shared" si="103"/>
        <v>0</v>
      </c>
      <c r="P2322" s="13">
        <v>0</v>
      </c>
      <c r="Q2322" s="13">
        <v>0</v>
      </c>
      <c r="R2322" s="24"/>
      <c r="S2322" s="25" t="s">
        <v>10297</v>
      </c>
      <c r="T2322" s="25" t="s">
        <v>43</v>
      </c>
      <c r="U2322" s="5" t="s">
        <v>10292</v>
      </c>
      <c r="V2322" s="5"/>
      <c r="W2322" s="5" t="s">
        <v>2731</v>
      </c>
      <c r="X2322" s="5"/>
      <c r="Y2322" s="5"/>
      <c r="Z2322" s="5" t="str">
        <f>HYPERLINK("https://knigipp.ru/api/getInfo/image/2b7fe012-c39a-11eb-a206-ac1f6b442185")</f>
        <v>https://knigipp.ru/api/getInfo/image/2b7fe012-c39a-11eb-a206-ac1f6b442185</v>
      </c>
      <c r="AA2322" s="33">
        <v>64</v>
      </c>
      <c r="AB2322" s="5"/>
      <c r="AC2322" s="5" t="s">
        <v>86</v>
      </c>
      <c r="AD2322" s="5"/>
      <c r="AE2322" s="5" t="s">
        <v>49</v>
      </c>
      <c r="AF2322" s="5"/>
      <c r="AG2322" s="5"/>
      <c r="AH2322" s="5" t="s">
        <v>10276</v>
      </c>
    </row>
    <row r="2323" spans="2:34" ht="21" customHeight="1" outlineLevel="4" x14ac:dyDescent="0.2">
      <c r="B2323" s="42">
        <v>1828</v>
      </c>
      <c r="C2323" s="5" t="s">
        <v>10298</v>
      </c>
      <c r="D2323" s="5" t="s">
        <v>10299</v>
      </c>
      <c r="E2323" s="6" t="s">
        <v>10300</v>
      </c>
      <c r="F2323" s="10"/>
      <c r="G2323" s="11" t="s">
        <v>10301</v>
      </c>
      <c r="H2323" s="12">
        <v>8</v>
      </c>
      <c r="I2323" s="13" t="s">
        <v>41</v>
      </c>
      <c r="J2323" s="13"/>
      <c r="K2323" s="13"/>
      <c r="L2323" s="4">
        <v>2</v>
      </c>
      <c r="M2323" s="14">
        <f>487*(1-P3/100)</f>
        <v>487</v>
      </c>
      <c r="N2323" s="15"/>
      <c r="O2323" s="13">
        <f t="shared" si="103"/>
        <v>0</v>
      </c>
      <c r="P2323" s="22">
        <f>0.491*N2323</f>
        <v>0</v>
      </c>
      <c r="Q2323" s="23">
        <f>0.00006*N2323</f>
        <v>0</v>
      </c>
      <c r="R2323" s="24"/>
      <c r="S2323" s="25" t="s">
        <v>10302</v>
      </c>
      <c r="T2323" s="25" t="s">
        <v>43</v>
      </c>
      <c r="U2323" s="5" t="s">
        <v>10292</v>
      </c>
      <c r="V2323" s="5"/>
      <c r="W2323" s="5" t="s">
        <v>2731</v>
      </c>
      <c r="X2323" s="5"/>
      <c r="Y2323" s="5"/>
      <c r="Z2323" s="5" t="str">
        <f>HYPERLINK("https://knigipp.ru/api/getInfo/image/740dc1a2-c397-11eb-a206-ac1f6b442185")</f>
        <v>https://knigipp.ru/api/getInfo/image/740dc1a2-c397-11eb-a206-ac1f6b442185</v>
      </c>
      <c r="AA2323" s="33">
        <v>64</v>
      </c>
      <c r="AB2323" s="5"/>
      <c r="AC2323" s="5" t="s">
        <v>86</v>
      </c>
      <c r="AD2323" s="5"/>
      <c r="AE2323" s="5" t="s">
        <v>49</v>
      </c>
      <c r="AF2323" s="5"/>
      <c r="AG2323" s="5"/>
      <c r="AH2323" s="5" t="s">
        <v>10276</v>
      </c>
    </row>
    <row r="2324" spans="2:34" ht="21" customHeight="1" outlineLevel="4" x14ac:dyDescent="0.2">
      <c r="B2324" s="42">
        <v>1829</v>
      </c>
      <c r="C2324" s="5" t="s">
        <v>10303</v>
      </c>
      <c r="D2324" s="5" t="s">
        <v>10304</v>
      </c>
      <c r="E2324" s="6" t="s">
        <v>10305</v>
      </c>
      <c r="F2324" s="10"/>
      <c r="G2324" s="11" t="s">
        <v>10306</v>
      </c>
      <c r="H2324" s="12">
        <v>8</v>
      </c>
      <c r="I2324" s="13" t="s">
        <v>41</v>
      </c>
      <c r="J2324" s="13"/>
      <c r="K2324" s="13"/>
      <c r="L2324" s="4">
        <v>2</v>
      </c>
      <c r="M2324" s="14">
        <f>487*(1-P3/100)</f>
        <v>487</v>
      </c>
      <c r="N2324" s="15"/>
      <c r="O2324" s="13">
        <f t="shared" si="103"/>
        <v>0</v>
      </c>
      <c r="P2324" s="13">
        <v>0</v>
      </c>
      <c r="Q2324" s="13">
        <v>0</v>
      </c>
      <c r="R2324" s="24"/>
      <c r="S2324" s="25" t="s">
        <v>10307</v>
      </c>
      <c r="T2324" s="25" t="s">
        <v>43</v>
      </c>
      <c r="U2324" s="5" t="s">
        <v>10292</v>
      </c>
      <c r="V2324" s="5"/>
      <c r="W2324" s="5" t="s">
        <v>2731</v>
      </c>
      <c r="X2324" s="5"/>
      <c r="Y2324" s="5"/>
      <c r="Z2324" s="5" t="str">
        <f>HYPERLINK("https://knigipp.ru/api/getInfo/image/02a37aef-c39a-11eb-a206-ac1f6b442185")</f>
        <v>https://knigipp.ru/api/getInfo/image/02a37aef-c39a-11eb-a206-ac1f6b442185</v>
      </c>
      <c r="AA2324" s="33">
        <v>64</v>
      </c>
      <c r="AB2324" s="5"/>
      <c r="AC2324" s="5" t="s">
        <v>86</v>
      </c>
      <c r="AD2324" s="5"/>
      <c r="AE2324" s="5" t="s">
        <v>49</v>
      </c>
      <c r="AF2324" s="5"/>
      <c r="AG2324" s="5"/>
      <c r="AH2324" s="5" t="s">
        <v>10276</v>
      </c>
    </row>
    <row r="2325" spans="2:34" ht="21" customHeight="1" outlineLevel="4" x14ac:dyDescent="0.2">
      <c r="B2325" s="42">
        <v>1830</v>
      </c>
      <c r="C2325" s="5" t="s">
        <v>10308</v>
      </c>
      <c r="D2325" s="5" t="s">
        <v>10309</v>
      </c>
      <c r="E2325" s="6" t="s">
        <v>10310</v>
      </c>
      <c r="F2325" s="10"/>
      <c r="G2325" s="11" t="s">
        <v>10311</v>
      </c>
      <c r="H2325" s="12">
        <v>8</v>
      </c>
      <c r="I2325" s="13" t="s">
        <v>41</v>
      </c>
      <c r="J2325" s="13"/>
      <c r="K2325" s="13"/>
      <c r="L2325" s="4">
        <v>2</v>
      </c>
      <c r="M2325" s="14">
        <f>487*(1-P3/100)</f>
        <v>487</v>
      </c>
      <c r="N2325" s="15"/>
      <c r="O2325" s="13">
        <f t="shared" si="103"/>
        <v>0</v>
      </c>
      <c r="P2325" s="13">
        <v>0</v>
      </c>
      <c r="Q2325" s="13">
        <v>0</v>
      </c>
      <c r="R2325" s="24"/>
      <c r="S2325" s="25" t="s">
        <v>10312</v>
      </c>
      <c r="T2325" s="25" t="s">
        <v>43</v>
      </c>
      <c r="U2325" s="5" t="s">
        <v>10194</v>
      </c>
      <c r="V2325" s="5"/>
      <c r="W2325" s="5" t="s">
        <v>2731</v>
      </c>
      <c r="X2325" s="5"/>
      <c r="Y2325" s="5"/>
      <c r="Z2325" s="5" t="str">
        <f>HYPERLINK("https://knigipp.ru/api/getInfo/image/84653a75-c399-11eb-a206-ac1f6b442185")</f>
        <v>https://knigipp.ru/api/getInfo/image/84653a75-c399-11eb-a206-ac1f6b442185</v>
      </c>
      <c r="AA2325" s="33">
        <v>64</v>
      </c>
      <c r="AB2325" s="5"/>
      <c r="AC2325" s="5" t="s">
        <v>86</v>
      </c>
      <c r="AD2325" s="5"/>
      <c r="AE2325" s="5" t="s">
        <v>49</v>
      </c>
      <c r="AF2325" s="5"/>
      <c r="AG2325" s="5"/>
      <c r="AH2325" s="5" t="s">
        <v>10276</v>
      </c>
    </row>
    <row r="2326" spans="2:34" ht="21" customHeight="1" outlineLevel="4" x14ac:dyDescent="0.2">
      <c r="B2326" s="42">
        <v>1831</v>
      </c>
      <c r="C2326" s="5" t="s">
        <v>10313</v>
      </c>
      <c r="D2326" s="5" t="s">
        <v>10314</v>
      </c>
      <c r="E2326" s="6" t="s">
        <v>10315</v>
      </c>
      <c r="F2326" s="10"/>
      <c r="G2326" s="11" t="s">
        <v>10316</v>
      </c>
      <c r="H2326" s="12">
        <v>8</v>
      </c>
      <c r="I2326" s="13" t="s">
        <v>261</v>
      </c>
      <c r="J2326" s="13"/>
      <c r="K2326" s="13"/>
      <c r="L2326" s="4">
        <v>2</v>
      </c>
      <c r="M2326" s="14">
        <f>487*(1-P3/100)</f>
        <v>487</v>
      </c>
      <c r="N2326" s="15"/>
      <c r="O2326" s="13">
        <f t="shared" si="103"/>
        <v>0</v>
      </c>
      <c r="P2326" s="13">
        <v>0</v>
      </c>
      <c r="Q2326" s="13">
        <v>0</v>
      </c>
      <c r="R2326" s="24"/>
      <c r="S2326" s="25" t="s">
        <v>10317</v>
      </c>
      <c r="T2326" s="25" t="s">
        <v>43</v>
      </c>
      <c r="U2326" s="5" t="s">
        <v>10292</v>
      </c>
      <c r="V2326" s="5"/>
      <c r="W2326" s="5" t="s">
        <v>2731</v>
      </c>
      <c r="X2326" s="5"/>
      <c r="Y2326" s="5"/>
      <c r="Z2326" s="5" t="str">
        <f>HYPERLINK("https://knigipp.ru/api/getInfo/image/5f31e74a-c399-11eb-a206-ac1f6b442185")</f>
        <v>https://knigipp.ru/api/getInfo/image/5f31e74a-c399-11eb-a206-ac1f6b442185</v>
      </c>
      <c r="AA2326" s="33">
        <v>64</v>
      </c>
      <c r="AB2326" s="5"/>
      <c r="AC2326" s="5" t="s">
        <v>86</v>
      </c>
      <c r="AD2326" s="5"/>
      <c r="AE2326" s="5" t="s">
        <v>49</v>
      </c>
      <c r="AF2326" s="5"/>
      <c r="AG2326" s="5"/>
      <c r="AH2326" s="5" t="s">
        <v>10276</v>
      </c>
    </row>
    <row r="2327" spans="2:34" ht="21" customHeight="1" outlineLevel="4" x14ac:dyDescent="0.2">
      <c r="B2327" s="42">
        <v>1832</v>
      </c>
      <c r="C2327" s="5" t="s">
        <v>10318</v>
      </c>
      <c r="D2327" s="5" t="s">
        <v>10319</v>
      </c>
      <c r="E2327" s="6" t="s">
        <v>10320</v>
      </c>
      <c r="F2327" s="10"/>
      <c r="G2327" s="11" t="s">
        <v>10321</v>
      </c>
      <c r="H2327" s="12">
        <v>8</v>
      </c>
      <c r="I2327" s="13" t="s">
        <v>41</v>
      </c>
      <c r="J2327" s="13"/>
      <c r="K2327" s="13"/>
      <c r="L2327" s="4">
        <v>2</v>
      </c>
      <c r="M2327" s="14">
        <f>487*(1-P3/100)</f>
        <v>487</v>
      </c>
      <c r="N2327" s="15"/>
      <c r="O2327" s="13">
        <f t="shared" si="103"/>
        <v>0</v>
      </c>
      <c r="P2327" s="13">
        <v>0</v>
      </c>
      <c r="Q2327" s="13">
        <v>0</v>
      </c>
      <c r="R2327" s="24"/>
      <c r="S2327" s="25" t="s">
        <v>10322</v>
      </c>
      <c r="T2327" s="25" t="s">
        <v>43</v>
      </c>
      <c r="U2327" s="5" t="s">
        <v>10275</v>
      </c>
      <c r="V2327" s="5"/>
      <c r="W2327" s="5" t="s">
        <v>2731</v>
      </c>
      <c r="X2327" s="5"/>
      <c r="Y2327" s="5"/>
      <c r="Z2327" s="5" t="str">
        <f>HYPERLINK("https://knigipp.ru/api/getInfo/image/6b1fdaf0-c39a-11eb-a206-ac1f6b442185")</f>
        <v>https://knigipp.ru/api/getInfo/image/6b1fdaf0-c39a-11eb-a206-ac1f6b442185</v>
      </c>
      <c r="AA2327" s="33">
        <v>64</v>
      </c>
      <c r="AB2327" s="5"/>
      <c r="AC2327" s="5" t="s">
        <v>86</v>
      </c>
      <c r="AD2327" s="5"/>
      <c r="AE2327" s="5" t="s">
        <v>49</v>
      </c>
      <c r="AF2327" s="5"/>
      <c r="AG2327" s="5"/>
      <c r="AH2327" s="5" t="s">
        <v>10276</v>
      </c>
    </row>
    <row r="2328" spans="2:34" ht="21" customHeight="1" outlineLevel="4" x14ac:dyDescent="0.2">
      <c r="B2328" s="42">
        <v>1833</v>
      </c>
      <c r="C2328" s="5" t="s">
        <v>10323</v>
      </c>
      <c r="D2328" s="5" t="s">
        <v>10324</v>
      </c>
      <c r="E2328" s="6" t="s">
        <v>10325</v>
      </c>
      <c r="F2328" s="10"/>
      <c r="G2328" s="11" t="s">
        <v>10326</v>
      </c>
      <c r="H2328" s="12">
        <v>8</v>
      </c>
      <c r="I2328" s="13" t="s">
        <v>41</v>
      </c>
      <c r="J2328" s="13"/>
      <c r="K2328" s="13"/>
      <c r="L2328" s="4">
        <v>2</v>
      </c>
      <c r="M2328" s="14">
        <f>487*(1-P3/100)</f>
        <v>487</v>
      </c>
      <c r="N2328" s="15"/>
      <c r="O2328" s="13">
        <f t="shared" si="103"/>
        <v>0</v>
      </c>
      <c r="P2328" s="22">
        <f>0.482*N2328</f>
        <v>0</v>
      </c>
      <c r="Q2328" s="13">
        <v>0</v>
      </c>
      <c r="R2328" s="24"/>
      <c r="S2328" s="25" t="s">
        <v>10327</v>
      </c>
      <c r="T2328" s="25" t="s">
        <v>43</v>
      </c>
      <c r="U2328" s="5" t="s">
        <v>10194</v>
      </c>
      <c r="V2328" s="5"/>
      <c r="W2328" s="5" t="s">
        <v>2731</v>
      </c>
      <c r="X2328" s="5"/>
      <c r="Y2328" s="5"/>
      <c r="Z2328" s="5" t="str">
        <f>HYPERLINK("https://knigipp.ru/api/getInfo/image/d36f4de5-c399-11eb-a206-ac1f6b442185")</f>
        <v>https://knigipp.ru/api/getInfo/image/d36f4de5-c399-11eb-a206-ac1f6b442185</v>
      </c>
      <c r="AA2328" s="33">
        <v>64</v>
      </c>
      <c r="AB2328" s="5"/>
      <c r="AC2328" s="5" t="s">
        <v>86</v>
      </c>
      <c r="AD2328" s="5"/>
      <c r="AE2328" s="5" t="s">
        <v>49</v>
      </c>
      <c r="AF2328" s="5"/>
      <c r="AG2328" s="5"/>
      <c r="AH2328" s="5" t="s">
        <v>10276</v>
      </c>
    </row>
    <row r="2329" spans="2:34" ht="21" customHeight="1" outlineLevel="4" x14ac:dyDescent="0.2">
      <c r="B2329" s="42">
        <v>1834</v>
      </c>
      <c r="C2329" s="5" t="s">
        <v>10328</v>
      </c>
      <c r="D2329" s="5" t="s">
        <v>10329</v>
      </c>
      <c r="E2329" s="6" t="s">
        <v>10330</v>
      </c>
      <c r="F2329" s="10"/>
      <c r="G2329" s="11" t="s">
        <v>10331</v>
      </c>
      <c r="H2329" s="12">
        <v>8</v>
      </c>
      <c r="I2329" s="13" t="s">
        <v>41</v>
      </c>
      <c r="J2329" s="13"/>
      <c r="K2329" s="13"/>
      <c r="L2329" s="4">
        <v>2</v>
      </c>
      <c r="M2329" s="14">
        <f>487*(1-P3/100)</f>
        <v>487</v>
      </c>
      <c r="N2329" s="15"/>
      <c r="O2329" s="13">
        <f t="shared" si="103"/>
        <v>0</v>
      </c>
      <c r="P2329" s="22">
        <f>0.482*N2329</f>
        <v>0</v>
      </c>
      <c r="Q2329" s="13">
        <v>0</v>
      </c>
      <c r="R2329" s="24"/>
      <c r="S2329" s="25" t="s">
        <v>10332</v>
      </c>
      <c r="T2329" s="25" t="s">
        <v>43</v>
      </c>
      <c r="U2329" s="5" t="s">
        <v>10275</v>
      </c>
      <c r="V2329" s="5"/>
      <c r="W2329" s="5" t="s">
        <v>2731</v>
      </c>
      <c r="X2329" s="5"/>
      <c r="Y2329" s="5"/>
      <c r="Z2329" s="5" t="str">
        <f>HYPERLINK("https://knigipp.ru/api/getInfo/image/241733dd-c398-11eb-a206-ac1f6b442185")</f>
        <v>https://knigipp.ru/api/getInfo/image/241733dd-c398-11eb-a206-ac1f6b442185</v>
      </c>
      <c r="AA2329" s="33">
        <v>64</v>
      </c>
      <c r="AB2329" s="5"/>
      <c r="AC2329" s="5" t="s">
        <v>86</v>
      </c>
      <c r="AD2329" s="5"/>
      <c r="AE2329" s="5" t="s">
        <v>49</v>
      </c>
      <c r="AF2329" s="5"/>
      <c r="AG2329" s="5"/>
      <c r="AH2329" s="5" t="s">
        <v>10276</v>
      </c>
    </row>
    <row r="2330" spans="2:34" ht="21" customHeight="1" outlineLevel="4" x14ac:dyDescent="0.2">
      <c r="B2330" s="42">
        <v>1835</v>
      </c>
      <c r="C2330" s="5" t="s">
        <v>10333</v>
      </c>
      <c r="D2330" s="5" t="s">
        <v>10334</v>
      </c>
      <c r="E2330" s="6" t="s">
        <v>10335</v>
      </c>
      <c r="F2330" s="10"/>
      <c r="G2330" s="11" t="s">
        <v>10336</v>
      </c>
      <c r="H2330" s="12">
        <v>8</v>
      </c>
      <c r="I2330" s="13" t="s">
        <v>41</v>
      </c>
      <c r="J2330" s="13"/>
      <c r="K2330" s="13"/>
      <c r="L2330" s="4">
        <v>2</v>
      </c>
      <c r="M2330" s="14">
        <f>487*(1-P3/100)</f>
        <v>487</v>
      </c>
      <c r="N2330" s="15"/>
      <c r="O2330" s="13">
        <f t="shared" si="103"/>
        <v>0</v>
      </c>
      <c r="P2330" s="13">
        <v>0</v>
      </c>
      <c r="Q2330" s="13">
        <v>0</v>
      </c>
      <c r="R2330" s="24"/>
      <c r="S2330" s="25" t="s">
        <v>10337</v>
      </c>
      <c r="T2330" s="25" t="s">
        <v>43</v>
      </c>
      <c r="U2330" s="5" t="s">
        <v>10338</v>
      </c>
      <c r="V2330" s="5"/>
      <c r="W2330" s="5" t="s">
        <v>2731</v>
      </c>
      <c r="X2330" s="5"/>
      <c r="Y2330" s="5"/>
      <c r="Z2330" s="5" t="str">
        <f>HYPERLINK("https://knigipp.ru/api/getInfo/image/49304c97-c398-11eb-a206-ac1f6b442185")</f>
        <v>https://knigipp.ru/api/getInfo/image/49304c97-c398-11eb-a206-ac1f6b442185</v>
      </c>
      <c r="AA2330" s="33">
        <v>64</v>
      </c>
      <c r="AB2330" s="5"/>
      <c r="AC2330" s="5" t="s">
        <v>86</v>
      </c>
      <c r="AD2330" s="5"/>
      <c r="AE2330" s="5" t="s">
        <v>49</v>
      </c>
      <c r="AF2330" s="5"/>
      <c r="AG2330" s="5"/>
      <c r="AH2330" s="5" t="s">
        <v>10276</v>
      </c>
    </row>
    <row r="2331" spans="2:34" ht="22.95" customHeight="1" outlineLevel="3" x14ac:dyDescent="0.2">
      <c r="B2331" s="74" t="s">
        <v>10339</v>
      </c>
      <c r="C2331" s="74"/>
      <c r="D2331" s="74"/>
    </row>
    <row r="2332" spans="2:34" ht="21" customHeight="1" outlineLevel="4" x14ac:dyDescent="0.2">
      <c r="B2332" s="42">
        <v>1836</v>
      </c>
      <c r="C2332" s="5" t="s">
        <v>10340</v>
      </c>
      <c r="D2332" s="5" t="s">
        <v>10341</v>
      </c>
      <c r="E2332" s="6" t="s">
        <v>10342</v>
      </c>
      <c r="F2332" s="10"/>
      <c r="G2332" s="11" t="s">
        <v>10343</v>
      </c>
      <c r="H2332" s="12">
        <v>24</v>
      </c>
      <c r="I2332" s="13" t="s">
        <v>41</v>
      </c>
      <c r="J2332" s="13"/>
      <c r="K2332" s="13"/>
      <c r="L2332" s="4">
        <v>3</v>
      </c>
      <c r="M2332" s="14">
        <f>199*(1-P3/100)</f>
        <v>199</v>
      </c>
      <c r="N2332" s="15"/>
      <c r="O2332" s="13">
        <f t="shared" ref="O2332:O2339" si="104">M2332*N2332</f>
        <v>0</v>
      </c>
      <c r="P2332" s="32">
        <f>0.45*N2332</f>
        <v>0</v>
      </c>
      <c r="Q2332" s="23">
        <f>0.00201*N2332</f>
        <v>0</v>
      </c>
      <c r="R2332" s="24"/>
      <c r="S2332" s="25" t="s">
        <v>10344</v>
      </c>
      <c r="T2332" s="25" t="s">
        <v>43</v>
      </c>
      <c r="U2332" s="5" t="s">
        <v>10345</v>
      </c>
      <c r="V2332" s="5"/>
      <c r="W2332" s="5" t="s">
        <v>46</v>
      </c>
      <c r="X2332" s="5"/>
      <c r="Y2332" s="5"/>
      <c r="Z2332" s="5" t="str">
        <f>HYPERLINK("https://knigipp.ru/api/getInfo/image/26593def-10e0-11ee-a23b-00155d82e902")</f>
        <v>https://knigipp.ru/api/getInfo/image/26593def-10e0-11ee-a23b-00155d82e902</v>
      </c>
      <c r="AA2332" s="33">
        <v>48</v>
      </c>
      <c r="AB2332" s="5" t="s">
        <v>47</v>
      </c>
      <c r="AC2332" s="5" t="s">
        <v>86</v>
      </c>
      <c r="AD2332" s="5"/>
      <c r="AE2332" s="5" t="s">
        <v>49</v>
      </c>
      <c r="AF2332" s="5"/>
      <c r="AG2332" s="5"/>
      <c r="AH2332" s="5" t="s">
        <v>10346</v>
      </c>
    </row>
    <row r="2333" spans="2:34" ht="21" customHeight="1" outlineLevel="4" x14ac:dyDescent="0.2">
      <c r="B2333" s="42">
        <v>1837</v>
      </c>
      <c r="C2333" s="5" t="s">
        <v>10347</v>
      </c>
      <c r="D2333" s="5" t="s">
        <v>10348</v>
      </c>
      <c r="E2333" s="6" t="s">
        <v>10349</v>
      </c>
      <c r="F2333" s="10"/>
      <c r="G2333" s="11" t="s">
        <v>10350</v>
      </c>
      <c r="H2333" s="12">
        <v>24</v>
      </c>
      <c r="I2333" s="13" t="s">
        <v>41</v>
      </c>
      <c r="J2333" s="13"/>
      <c r="K2333" s="13"/>
      <c r="L2333" s="4">
        <v>3</v>
      </c>
      <c r="M2333" s="14">
        <f>199*(1-P3/100)</f>
        <v>199</v>
      </c>
      <c r="N2333" s="15"/>
      <c r="O2333" s="13">
        <f t="shared" si="104"/>
        <v>0</v>
      </c>
      <c r="P2333" s="22">
        <f>0.149*N2333</f>
        <v>0</v>
      </c>
      <c r="Q2333" s="23">
        <f>0.00016*N2333</f>
        <v>0</v>
      </c>
      <c r="R2333" s="24"/>
      <c r="S2333" s="25" t="s">
        <v>10351</v>
      </c>
      <c r="T2333" s="25" t="s">
        <v>43</v>
      </c>
      <c r="U2333" s="5" t="s">
        <v>10352</v>
      </c>
      <c r="V2333" s="5"/>
      <c r="W2333" s="5" t="s">
        <v>46</v>
      </c>
      <c r="X2333" s="5"/>
      <c r="Y2333" s="5"/>
      <c r="Z2333" s="5" t="str">
        <f>HYPERLINK("https://knigipp.ru/api/getInfo/image/713f0923-10e0-11ee-a23b-00155d82e902")</f>
        <v>https://knigipp.ru/api/getInfo/image/713f0923-10e0-11ee-a23b-00155d82e902</v>
      </c>
      <c r="AA2333" s="33">
        <v>48</v>
      </c>
      <c r="AB2333" s="5" t="s">
        <v>47</v>
      </c>
      <c r="AC2333" s="5" t="s">
        <v>86</v>
      </c>
      <c r="AD2333" s="5"/>
      <c r="AE2333" s="5" t="s">
        <v>49</v>
      </c>
      <c r="AF2333" s="5"/>
      <c r="AG2333" s="5"/>
      <c r="AH2333" s="5" t="s">
        <v>10346</v>
      </c>
    </row>
    <row r="2334" spans="2:34" ht="21" customHeight="1" outlineLevel="4" x14ac:dyDescent="0.2">
      <c r="B2334" s="42">
        <v>1838</v>
      </c>
      <c r="C2334" s="5" t="s">
        <v>10353</v>
      </c>
      <c r="D2334" s="5" t="s">
        <v>10354</v>
      </c>
      <c r="E2334" s="6" t="s">
        <v>10355</v>
      </c>
      <c r="F2334" s="10"/>
      <c r="G2334" s="11" t="s">
        <v>10356</v>
      </c>
      <c r="H2334" s="12">
        <v>24</v>
      </c>
      <c r="I2334" s="13" t="s">
        <v>41</v>
      </c>
      <c r="J2334" s="13"/>
      <c r="K2334" s="13"/>
      <c r="L2334" s="4">
        <v>3</v>
      </c>
      <c r="M2334" s="14">
        <f>199*(1-P3/100)</f>
        <v>199</v>
      </c>
      <c r="N2334" s="15"/>
      <c r="O2334" s="13">
        <f t="shared" si="104"/>
        <v>0</v>
      </c>
      <c r="P2334" s="22">
        <f>0.144*N2334</f>
        <v>0</v>
      </c>
      <c r="Q2334" s="23">
        <f>0.00028*N2334</f>
        <v>0</v>
      </c>
      <c r="R2334" s="24"/>
      <c r="S2334" s="25" t="s">
        <v>10357</v>
      </c>
      <c r="T2334" s="25" t="s">
        <v>43</v>
      </c>
      <c r="U2334" s="5" t="s">
        <v>10345</v>
      </c>
      <c r="V2334" s="5"/>
      <c r="W2334" s="5" t="s">
        <v>46</v>
      </c>
      <c r="X2334" s="5"/>
      <c r="Y2334" s="5"/>
      <c r="Z2334" s="5" t="str">
        <f>HYPERLINK("https://knigipp.ru/api/getInfo/image/e71c8239-10df-11ee-a23b-00155d82e902")</f>
        <v>https://knigipp.ru/api/getInfo/image/e71c8239-10df-11ee-a23b-00155d82e902</v>
      </c>
      <c r="AA2334" s="33">
        <v>48</v>
      </c>
      <c r="AB2334" s="5" t="s">
        <v>47</v>
      </c>
      <c r="AC2334" s="5" t="s">
        <v>86</v>
      </c>
      <c r="AD2334" s="5"/>
      <c r="AE2334" s="5" t="s">
        <v>49</v>
      </c>
      <c r="AF2334" s="5"/>
      <c r="AG2334" s="5"/>
      <c r="AH2334" s="5" t="s">
        <v>10346</v>
      </c>
    </row>
    <row r="2335" spans="2:34" ht="21" customHeight="1" outlineLevel="4" x14ac:dyDescent="0.2">
      <c r="B2335" s="42">
        <v>1839</v>
      </c>
      <c r="C2335" s="5" t="s">
        <v>10358</v>
      </c>
      <c r="D2335" s="5" t="s">
        <v>10359</v>
      </c>
      <c r="E2335" s="6" t="s">
        <v>10360</v>
      </c>
      <c r="F2335" s="10"/>
      <c r="G2335" s="11" t="s">
        <v>10361</v>
      </c>
      <c r="H2335" s="12">
        <v>24</v>
      </c>
      <c r="I2335" s="13" t="s">
        <v>41</v>
      </c>
      <c r="J2335" s="13"/>
      <c r="K2335" s="13"/>
      <c r="L2335" s="4">
        <v>3</v>
      </c>
      <c r="M2335" s="14">
        <f>199*(1-P3/100)</f>
        <v>199</v>
      </c>
      <c r="N2335" s="15"/>
      <c r="O2335" s="13">
        <f t="shared" si="104"/>
        <v>0</v>
      </c>
      <c r="P2335" s="22">
        <f>0.149*N2335</f>
        <v>0</v>
      </c>
      <c r="Q2335" s="23">
        <f>0.00016*N2335</f>
        <v>0</v>
      </c>
      <c r="R2335" s="24"/>
      <c r="S2335" s="25" t="s">
        <v>10362</v>
      </c>
      <c r="T2335" s="25" t="s">
        <v>43</v>
      </c>
      <c r="U2335" s="5" t="s">
        <v>10352</v>
      </c>
      <c r="V2335" s="5"/>
      <c r="W2335" s="5" t="s">
        <v>46</v>
      </c>
      <c r="X2335" s="5"/>
      <c r="Y2335" s="5"/>
      <c r="Z2335" s="5" t="str">
        <f>HYPERLINK("https://knigipp.ru/api/getInfo/image/4d4e5802-10e0-11ee-a23b-00155d82e902")</f>
        <v>https://knigipp.ru/api/getInfo/image/4d4e5802-10e0-11ee-a23b-00155d82e902</v>
      </c>
      <c r="AA2335" s="33">
        <v>48</v>
      </c>
      <c r="AB2335" s="5" t="s">
        <v>47</v>
      </c>
      <c r="AC2335" s="5" t="s">
        <v>86</v>
      </c>
      <c r="AD2335" s="5"/>
      <c r="AE2335" s="5" t="s">
        <v>49</v>
      </c>
      <c r="AF2335" s="5"/>
      <c r="AG2335" s="5"/>
      <c r="AH2335" s="5" t="s">
        <v>10346</v>
      </c>
    </row>
    <row r="2336" spans="2:34" ht="21" customHeight="1" outlineLevel="4" x14ac:dyDescent="0.2">
      <c r="B2336" s="42">
        <v>1840</v>
      </c>
      <c r="C2336" s="5" t="s">
        <v>10363</v>
      </c>
      <c r="D2336" s="5" t="s">
        <v>10364</v>
      </c>
      <c r="E2336" s="6" t="s">
        <v>10365</v>
      </c>
      <c r="F2336" s="10"/>
      <c r="G2336" s="11" t="s">
        <v>10366</v>
      </c>
      <c r="H2336" s="12">
        <v>24</v>
      </c>
      <c r="I2336" s="13" t="s">
        <v>41</v>
      </c>
      <c r="J2336" s="13"/>
      <c r="K2336" s="13"/>
      <c r="L2336" s="4">
        <v>3</v>
      </c>
      <c r="M2336" s="14">
        <f>199*(1-P3/100)</f>
        <v>199</v>
      </c>
      <c r="N2336" s="15"/>
      <c r="O2336" s="13">
        <f t="shared" si="104"/>
        <v>0</v>
      </c>
      <c r="P2336" s="22">
        <f>0.149*N2336</f>
        <v>0</v>
      </c>
      <c r="Q2336" s="23">
        <f>0.00018*N2336</f>
        <v>0</v>
      </c>
      <c r="R2336" s="24"/>
      <c r="S2336" s="25" t="s">
        <v>10367</v>
      </c>
      <c r="T2336" s="25" t="s">
        <v>43</v>
      </c>
      <c r="U2336" s="5" t="s">
        <v>10345</v>
      </c>
      <c r="V2336" s="5"/>
      <c r="W2336" s="5" t="s">
        <v>46</v>
      </c>
      <c r="X2336" s="5"/>
      <c r="Y2336" s="5"/>
      <c r="Z2336" s="5" t="str">
        <f>HYPERLINK("https://knigipp.ru/api/getInfo/image/79ff5f7c-10df-11ee-a23b-00155d82e902")</f>
        <v>https://knigipp.ru/api/getInfo/image/79ff5f7c-10df-11ee-a23b-00155d82e902</v>
      </c>
      <c r="AA2336" s="33">
        <v>48</v>
      </c>
      <c r="AB2336" s="5" t="s">
        <v>47</v>
      </c>
      <c r="AC2336" s="5" t="s">
        <v>86</v>
      </c>
      <c r="AD2336" s="5"/>
      <c r="AE2336" s="5" t="s">
        <v>49</v>
      </c>
      <c r="AF2336" s="5"/>
      <c r="AG2336" s="5"/>
      <c r="AH2336" s="5" t="s">
        <v>10346</v>
      </c>
    </row>
    <row r="2337" spans="2:34" ht="21" customHeight="1" outlineLevel="4" x14ac:dyDescent="0.2">
      <c r="B2337" s="42">
        <v>1841</v>
      </c>
      <c r="C2337" s="5" t="s">
        <v>10368</v>
      </c>
      <c r="D2337" s="5" t="s">
        <v>10369</v>
      </c>
      <c r="E2337" s="6" t="s">
        <v>10370</v>
      </c>
      <c r="F2337" s="10"/>
      <c r="G2337" s="11" t="s">
        <v>10371</v>
      </c>
      <c r="H2337" s="12">
        <v>24</v>
      </c>
      <c r="I2337" s="13" t="s">
        <v>41</v>
      </c>
      <c r="J2337" s="13"/>
      <c r="K2337" s="13"/>
      <c r="L2337" s="4">
        <v>3</v>
      </c>
      <c r="M2337" s="14">
        <f>199*(1-P3/100)</f>
        <v>199</v>
      </c>
      <c r="N2337" s="15"/>
      <c r="O2337" s="13">
        <f t="shared" si="104"/>
        <v>0</v>
      </c>
      <c r="P2337" s="22">
        <f>0.149*N2337</f>
        <v>0</v>
      </c>
      <c r="Q2337" s="23">
        <f>0.00016*N2337</f>
        <v>0</v>
      </c>
      <c r="R2337" s="24"/>
      <c r="S2337" s="25" t="s">
        <v>10372</v>
      </c>
      <c r="T2337" s="25" t="s">
        <v>43</v>
      </c>
      <c r="U2337" s="5" t="s">
        <v>10345</v>
      </c>
      <c r="V2337" s="5"/>
      <c r="W2337" s="5" t="s">
        <v>46</v>
      </c>
      <c r="X2337" s="5"/>
      <c r="Y2337" s="5"/>
      <c r="Z2337" s="5" t="str">
        <f>HYPERLINK("https://knigipp.ru/api/getInfo/image/9d60e279-10df-11ee-a23b-00155d82e902")</f>
        <v>https://knigipp.ru/api/getInfo/image/9d60e279-10df-11ee-a23b-00155d82e902</v>
      </c>
      <c r="AA2337" s="33">
        <v>48</v>
      </c>
      <c r="AB2337" s="5" t="s">
        <v>47</v>
      </c>
      <c r="AC2337" s="5" t="s">
        <v>86</v>
      </c>
      <c r="AD2337" s="5"/>
      <c r="AE2337" s="5" t="s">
        <v>49</v>
      </c>
      <c r="AF2337" s="5"/>
      <c r="AG2337" s="5"/>
      <c r="AH2337" s="5" t="s">
        <v>10346</v>
      </c>
    </row>
    <row r="2338" spans="2:34" ht="21" customHeight="1" outlineLevel="4" x14ac:dyDescent="0.2">
      <c r="B2338" s="42">
        <v>1842</v>
      </c>
      <c r="C2338" s="5" t="s">
        <v>10373</v>
      </c>
      <c r="D2338" s="5" t="s">
        <v>10374</v>
      </c>
      <c r="E2338" s="6" t="s">
        <v>10375</v>
      </c>
      <c r="F2338" s="10"/>
      <c r="G2338" s="11" t="s">
        <v>10376</v>
      </c>
      <c r="H2338" s="12">
        <v>24</v>
      </c>
      <c r="I2338" s="13" t="s">
        <v>41</v>
      </c>
      <c r="J2338" s="13"/>
      <c r="K2338" s="13"/>
      <c r="L2338" s="4">
        <v>3</v>
      </c>
      <c r="M2338" s="14">
        <f>199*(1-P3/100)</f>
        <v>199</v>
      </c>
      <c r="N2338" s="15"/>
      <c r="O2338" s="13">
        <f t="shared" si="104"/>
        <v>0</v>
      </c>
      <c r="P2338" s="22">
        <f>0.149*N2338</f>
        <v>0</v>
      </c>
      <c r="Q2338" s="23">
        <f>0.00016*N2338</f>
        <v>0</v>
      </c>
      <c r="R2338" s="24"/>
      <c r="S2338" s="25" t="s">
        <v>10377</v>
      </c>
      <c r="T2338" s="25" t="s">
        <v>43</v>
      </c>
      <c r="U2338" s="5" t="s">
        <v>10345</v>
      </c>
      <c r="V2338" s="5"/>
      <c r="W2338" s="5" t="s">
        <v>46</v>
      </c>
      <c r="X2338" s="5"/>
      <c r="Y2338" s="5"/>
      <c r="Z2338" s="5" t="str">
        <f>HYPERLINK("https://knigipp.ru/api/getInfo/image/09965957-10df-11ee-a23b-00155d82e902")</f>
        <v>https://knigipp.ru/api/getInfo/image/09965957-10df-11ee-a23b-00155d82e902</v>
      </c>
      <c r="AA2338" s="33">
        <v>48</v>
      </c>
      <c r="AB2338" s="5" t="s">
        <v>47</v>
      </c>
      <c r="AC2338" s="5" t="s">
        <v>86</v>
      </c>
      <c r="AD2338" s="5"/>
      <c r="AE2338" s="5" t="s">
        <v>49</v>
      </c>
      <c r="AF2338" s="5"/>
      <c r="AG2338" s="5"/>
      <c r="AH2338" s="5" t="s">
        <v>10346</v>
      </c>
    </row>
    <row r="2339" spans="2:34" ht="21" customHeight="1" outlineLevel="4" x14ac:dyDescent="0.2">
      <c r="B2339" s="42">
        <v>1843</v>
      </c>
      <c r="C2339" s="5" t="s">
        <v>10378</v>
      </c>
      <c r="D2339" s="5" t="s">
        <v>10379</v>
      </c>
      <c r="E2339" s="6" t="s">
        <v>10380</v>
      </c>
      <c r="F2339" s="10"/>
      <c r="G2339" s="11" t="s">
        <v>10381</v>
      </c>
      <c r="H2339" s="12">
        <v>24</v>
      </c>
      <c r="I2339" s="13" t="s">
        <v>41</v>
      </c>
      <c r="J2339" s="13"/>
      <c r="K2339" s="13"/>
      <c r="L2339" s="4">
        <v>3</v>
      </c>
      <c r="M2339" s="14">
        <f>199*(1-P3/100)</f>
        <v>199</v>
      </c>
      <c r="N2339" s="15"/>
      <c r="O2339" s="13">
        <f t="shared" si="104"/>
        <v>0</v>
      </c>
      <c r="P2339" s="22">
        <f>0.142*N2339</f>
        <v>0</v>
      </c>
      <c r="Q2339" s="23">
        <f>0.00018*N2339</f>
        <v>0</v>
      </c>
      <c r="R2339" s="24"/>
      <c r="S2339" s="25" t="s">
        <v>10382</v>
      </c>
      <c r="T2339" s="25" t="s">
        <v>43</v>
      </c>
      <c r="U2339" s="5" t="s">
        <v>10352</v>
      </c>
      <c r="V2339" s="5"/>
      <c r="W2339" s="5" t="s">
        <v>46</v>
      </c>
      <c r="X2339" s="5"/>
      <c r="Y2339" s="5"/>
      <c r="Z2339" s="5" t="str">
        <f>HYPERLINK("https://knigipp.ru/api/getInfo/image/0ca4d63c-10e0-11ee-a23b-00155d82e902")</f>
        <v>https://knigipp.ru/api/getInfo/image/0ca4d63c-10e0-11ee-a23b-00155d82e902</v>
      </c>
      <c r="AA2339" s="33">
        <v>48</v>
      </c>
      <c r="AB2339" s="5" t="s">
        <v>47</v>
      </c>
      <c r="AC2339" s="5" t="s">
        <v>86</v>
      </c>
      <c r="AD2339" s="5"/>
      <c r="AE2339" s="5" t="s">
        <v>49</v>
      </c>
      <c r="AF2339" s="5"/>
      <c r="AG2339" s="5"/>
      <c r="AH2339" s="5" t="s">
        <v>10346</v>
      </c>
    </row>
    <row r="2340" spans="2:34" ht="22.95" customHeight="1" outlineLevel="3" x14ac:dyDescent="0.2">
      <c r="B2340" s="74" t="s">
        <v>10383</v>
      </c>
      <c r="C2340" s="74"/>
      <c r="D2340" s="74"/>
    </row>
    <row r="2341" spans="2:34" ht="21" customHeight="1" outlineLevel="4" x14ac:dyDescent="0.2">
      <c r="B2341" s="42">
        <v>1844</v>
      </c>
      <c r="C2341" s="5" t="s">
        <v>10384</v>
      </c>
      <c r="D2341" s="5" t="s">
        <v>10385</v>
      </c>
      <c r="E2341" s="6" t="s">
        <v>10386</v>
      </c>
      <c r="F2341" s="10"/>
      <c r="G2341" s="11" t="s">
        <v>10387</v>
      </c>
      <c r="H2341" s="12">
        <v>20</v>
      </c>
      <c r="I2341" s="13" t="s">
        <v>41</v>
      </c>
      <c r="J2341" s="13"/>
      <c r="K2341" s="13"/>
      <c r="L2341" s="4">
        <v>2</v>
      </c>
      <c r="M2341" s="14">
        <f>377*(1-P3/100)</f>
        <v>377</v>
      </c>
      <c r="N2341" s="15"/>
      <c r="O2341" s="13">
        <f>M2341*N2341</f>
        <v>0</v>
      </c>
      <c r="P2341" s="22">
        <f>0.126*N2341</f>
        <v>0</v>
      </c>
      <c r="Q2341" s="30">
        <f>0.0004*N2341</f>
        <v>0</v>
      </c>
      <c r="R2341" s="24"/>
      <c r="S2341" s="25" t="s">
        <v>10388</v>
      </c>
      <c r="T2341" s="25" t="s">
        <v>43</v>
      </c>
      <c r="U2341" s="5" t="s">
        <v>10268</v>
      </c>
      <c r="V2341" s="5" t="s">
        <v>10389</v>
      </c>
      <c r="W2341" s="5" t="s">
        <v>2731</v>
      </c>
      <c r="X2341" s="5"/>
      <c r="Y2341" s="5"/>
      <c r="Z2341" s="5" t="str">
        <f>HYPERLINK("https://knigipp.ru/api/getInfo/image/e2da56be-977e-11ef-a267-00155d82e908")</f>
        <v>https://knigipp.ru/api/getInfo/image/e2da56be-977e-11ef-a267-00155d82e908</v>
      </c>
      <c r="AA2341" s="33">
        <v>128</v>
      </c>
      <c r="AB2341" s="5" t="s">
        <v>47</v>
      </c>
      <c r="AC2341" s="5" t="s">
        <v>10390</v>
      </c>
      <c r="AD2341" s="5"/>
      <c r="AE2341" s="5" t="s">
        <v>49</v>
      </c>
      <c r="AF2341" s="5"/>
      <c r="AG2341" s="5"/>
      <c r="AH2341" s="5" t="s">
        <v>10391</v>
      </c>
    </row>
    <row r="2342" spans="2:34" ht="21" customHeight="1" outlineLevel="4" x14ac:dyDescent="0.2">
      <c r="B2342" s="42">
        <v>1845</v>
      </c>
      <c r="C2342" s="5" t="s">
        <v>10392</v>
      </c>
      <c r="D2342" s="5" t="s">
        <v>10393</v>
      </c>
      <c r="E2342" s="6" t="s">
        <v>10394</v>
      </c>
      <c r="F2342" s="10"/>
      <c r="G2342" s="11" t="s">
        <v>10395</v>
      </c>
      <c r="H2342" s="12">
        <v>20</v>
      </c>
      <c r="I2342" s="13" t="s">
        <v>41</v>
      </c>
      <c r="J2342" s="13"/>
      <c r="K2342" s="13"/>
      <c r="L2342" s="4">
        <v>2</v>
      </c>
      <c r="M2342" s="14">
        <f>377*(1-P3/100)</f>
        <v>377</v>
      </c>
      <c r="N2342" s="15"/>
      <c r="O2342" s="13">
        <f>M2342*N2342</f>
        <v>0</v>
      </c>
      <c r="P2342" s="22">
        <f>0.123*N2342</f>
        <v>0</v>
      </c>
      <c r="Q2342" s="30">
        <f>0.0004*N2342</f>
        <v>0</v>
      </c>
      <c r="R2342" s="24"/>
      <c r="S2342" s="25" t="s">
        <v>10396</v>
      </c>
      <c r="T2342" s="25" t="s">
        <v>43</v>
      </c>
      <c r="U2342" s="5" t="s">
        <v>10397</v>
      </c>
      <c r="V2342" s="5" t="s">
        <v>10398</v>
      </c>
      <c r="W2342" s="5" t="s">
        <v>2731</v>
      </c>
      <c r="X2342" s="5"/>
      <c r="Y2342" s="5"/>
      <c r="Z2342" s="5" t="str">
        <f>HYPERLINK("https://knigipp.ru/api/getInfo/image/0badd3ff-977f-11ef-a267-00155d82e908")</f>
        <v>https://knigipp.ru/api/getInfo/image/0badd3ff-977f-11ef-a267-00155d82e908</v>
      </c>
      <c r="AA2342" s="33">
        <v>128</v>
      </c>
      <c r="AB2342" s="5" t="s">
        <v>47</v>
      </c>
      <c r="AC2342" s="5" t="s">
        <v>10390</v>
      </c>
      <c r="AD2342" s="5"/>
      <c r="AE2342" s="5" t="s">
        <v>49</v>
      </c>
      <c r="AF2342" s="5"/>
      <c r="AG2342" s="5"/>
      <c r="AH2342" s="5" t="s">
        <v>2282</v>
      </c>
    </row>
    <row r="2343" spans="2:34" ht="21" customHeight="1" outlineLevel="4" x14ac:dyDescent="0.2">
      <c r="B2343" s="42">
        <v>1846</v>
      </c>
      <c r="C2343" s="5" t="s">
        <v>10392</v>
      </c>
      <c r="D2343" s="5" t="s">
        <v>10393</v>
      </c>
      <c r="E2343" s="6" t="s">
        <v>10394</v>
      </c>
      <c r="F2343" s="10"/>
      <c r="G2343" s="11" t="s">
        <v>10395</v>
      </c>
      <c r="H2343" s="12">
        <v>50</v>
      </c>
      <c r="I2343" s="13" t="s">
        <v>41</v>
      </c>
      <c r="J2343" s="13"/>
      <c r="K2343" s="13"/>
      <c r="L2343" s="4">
        <v>2</v>
      </c>
      <c r="M2343" s="14">
        <f>377*(1-P3/100)</f>
        <v>377</v>
      </c>
      <c r="N2343" s="15"/>
      <c r="O2343" s="13">
        <f>M2343*N2343</f>
        <v>0</v>
      </c>
      <c r="P2343" s="22">
        <f>0.123*N2343</f>
        <v>0</v>
      </c>
      <c r="Q2343" s="30">
        <f>0.0004*N2343</f>
        <v>0</v>
      </c>
      <c r="R2343" s="24"/>
      <c r="S2343" s="25" t="s">
        <v>10396</v>
      </c>
      <c r="T2343" s="25" t="s">
        <v>43</v>
      </c>
      <c r="U2343" s="5" t="s">
        <v>10397</v>
      </c>
      <c r="V2343" s="5" t="s">
        <v>10398</v>
      </c>
      <c r="W2343" s="5" t="s">
        <v>2731</v>
      </c>
      <c r="X2343" s="5"/>
      <c r="Y2343" s="5"/>
      <c r="Z2343" s="5" t="str">
        <f>HYPERLINK("https://knigipp.ru/api/getInfo/image/0badd3ff-977f-11ef-a267-00155d82e908")</f>
        <v>https://knigipp.ru/api/getInfo/image/0badd3ff-977f-11ef-a267-00155d82e908</v>
      </c>
      <c r="AA2343" s="33">
        <v>128</v>
      </c>
      <c r="AB2343" s="5" t="s">
        <v>47</v>
      </c>
      <c r="AC2343" s="5" t="s">
        <v>10390</v>
      </c>
      <c r="AD2343" s="5"/>
      <c r="AE2343" s="5" t="s">
        <v>49</v>
      </c>
      <c r="AF2343" s="5"/>
      <c r="AG2343" s="5"/>
      <c r="AH2343" s="5" t="s">
        <v>2282</v>
      </c>
    </row>
    <row r="2344" spans="2:34" ht="22.95" customHeight="1" outlineLevel="3" x14ac:dyDescent="0.2">
      <c r="B2344" s="74" t="s">
        <v>10399</v>
      </c>
      <c r="C2344" s="74"/>
      <c r="D2344" s="74"/>
    </row>
    <row r="2345" spans="2:34" ht="21" customHeight="1" outlineLevel="4" x14ac:dyDescent="0.2">
      <c r="B2345" s="42">
        <v>1847</v>
      </c>
      <c r="C2345" s="5" t="s">
        <v>10400</v>
      </c>
      <c r="D2345" s="5" t="s">
        <v>10401</v>
      </c>
      <c r="E2345" s="6" t="s">
        <v>10402</v>
      </c>
      <c r="F2345" s="10"/>
      <c r="G2345" s="11" t="s">
        <v>10403</v>
      </c>
      <c r="H2345" s="12">
        <v>12</v>
      </c>
      <c r="I2345" s="13" t="s">
        <v>261</v>
      </c>
      <c r="J2345" s="13"/>
      <c r="K2345" s="13"/>
      <c r="L2345" s="4">
        <v>4</v>
      </c>
      <c r="M2345" s="14">
        <f>169*(1-P3/100)</f>
        <v>169</v>
      </c>
      <c r="N2345" s="15"/>
      <c r="O2345" s="13">
        <f>M2345*N2345</f>
        <v>0</v>
      </c>
      <c r="P2345" s="22">
        <f>0.164*N2345</f>
        <v>0</v>
      </c>
      <c r="Q2345" s="23">
        <f>0.00034*N2345</f>
        <v>0</v>
      </c>
      <c r="R2345" s="24"/>
      <c r="S2345" s="25" t="s">
        <v>10404</v>
      </c>
      <c r="T2345" s="25" t="s">
        <v>43</v>
      </c>
      <c r="U2345" s="5"/>
      <c r="V2345" s="5"/>
      <c r="W2345" s="5"/>
      <c r="X2345" s="5" t="s">
        <v>253</v>
      </c>
      <c r="Y2345" s="5"/>
      <c r="Z2345" s="5" t="str">
        <f>HYPERLINK("https://knigipp.ru/api/getInfo/image/74f433b7-4d06-11e7-977d-5cf3fc4a2490")</f>
        <v>https://knigipp.ru/api/getInfo/image/74f433b7-4d06-11e7-977d-5cf3fc4a2490</v>
      </c>
      <c r="AA2345" s="33">
        <v>32</v>
      </c>
      <c r="AB2345" s="5"/>
      <c r="AC2345" s="5" t="s">
        <v>86</v>
      </c>
      <c r="AD2345" s="5"/>
      <c r="AE2345" s="5" t="s">
        <v>49</v>
      </c>
      <c r="AF2345" s="5"/>
      <c r="AG2345" s="5" t="s">
        <v>10405</v>
      </c>
      <c r="AH2345" s="5" t="s">
        <v>10406</v>
      </c>
    </row>
    <row r="2346" spans="2:34" ht="22.95" customHeight="1" outlineLevel="1" x14ac:dyDescent="0.2">
      <c r="B2346" s="72" t="s">
        <v>10407</v>
      </c>
      <c r="C2346" s="72"/>
      <c r="D2346" s="72"/>
    </row>
    <row r="2347" spans="2:34" ht="22.95" customHeight="1" outlineLevel="2" x14ac:dyDescent="0.2">
      <c r="B2347" s="73" t="s">
        <v>10408</v>
      </c>
      <c r="C2347" s="73"/>
      <c r="D2347" s="73"/>
    </row>
    <row r="2348" spans="2:34" ht="22.95" customHeight="1" outlineLevel="3" x14ac:dyDescent="0.2">
      <c r="B2348" s="74" t="s">
        <v>10409</v>
      </c>
      <c r="C2348" s="74"/>
      <c r="D2348" s="74"/>
    </row>
    <row r="2349" spans="2:34" ht="21" customHeight="1" outlineLevel="4" x14ac:dyDescent="0.2">
      <c r="B2349" s="42">
        <v>1848</v>
      </c>
      <c r="C2349" s="5" t="s">
        <v>10410</v>
      </c>
      <c r="D2349" s="5" t="s">
        <v>10411</v>
      </c>
      <c r="E2349" s="6" t="s">
        <v>10412</v>
      </c>
      <c r="F2349" s="10"/>
      <c r="G2349" s="11" t="s">
        <v>10413</v>
      </c>
      <c r="H2349" s="12">
        <v>40</v>
      </c>
      <c r="I2349" s="13" t="s">
        <v>261</v>
      </c>
      <c r="J2349" s="13"/>
      <c r="K2349" s="13"/>
      <c r="L2349" s="4">
        <v>5</v>
      </c>
      <c r="M2349" s="14">
        <f>119*(1-P3/100)</f>
        <v>119</v>
      </c>
      <c r="N2349" s="15"/>
      <c r="O2349" s="13">
        <f t="shared" ref="O2349:O2360" si="105">M2349*N2349</f>
        <v>0</v>
      </c>
      <c r="P2349" s="22">
        <f>0.125*N2349</f>
        <v>0</v>
      </c>
      <c r="Q2349" s="23">
        <f>0.00021*N2349</f>
        <v>0</v>
      </c>
      <c r="R2349" s="24"/>
      <c r="S2349" s="25" t="s">
        <v>10414</v>
      </c>
      <c r="T2349" s="25" t="s">
        <v>43</v>
      </c>
      <c r="U2349" s="5" t="s">
        <v>4057</v>
      </c>
      <c r="V2349" s="5"/>
      <c r="W2349" s="5" t="s">
        <v>46</v>
      </c>
      <c r="X2349" s="5" t="s">
        <v>9262</v>
      </c>
      <c r="Y2349" s="5"/>
      <c r="Z2349" s="5" t="str">
        <f>HYPERLINK("https://knigipp.ru/api/getInfo/image/6781ea5a-c686-11e1-81d3-5ef3fc502493")</f>
        <v>https://knigipp.ru/api/getInfo/image/6781ea5a-c686-11e1-81d3-5ef3fc502493</v>
      </c>
      <c r="AA2349" s="33">
        <v>10</v>
      </c>
      <c r="AB2349" s="5"/>
      <c r="AC2349" s="5" t="s">
        <v>140</v>
      </c>
      <c r="AD2349" s="5"/>
      <c r="AE2349" s="5" t="s">
        <v>49</v>
      </c>
      <c r="AF2349" s="5"/>
      <c r="AG2349" s="5" t="s">
        <v>10415</v>
      </c>
      <c r="AH2349" s="5" t="s">
        <v>10416</v>
      </c>
    </row>
    <row r="2350" spans="2:34" ht="21" customHeight="1" outlineLevel="4" x14ac:dyDescent="0.2">
      <c r="B2350" s="42">
        <v>1849</v>
      </c>
      <c r="C2350" s="5" t="s">
        <v>10417</v>
      </c>
      <c r="D2350" s="5" t="s">
        <v>10418</v>
      </c>
      <c r="E2350" s="6" t="s">
        <v>10419</v>
      </c>
      <c r="F2350" s="10"/>
      <c r="G2350" s="11" t="s">
        <v>10413</v>
      </c>
      <c r="H2350" s="12">
        <v>40</v>
      </c>
      <c r="I2350" s="13" t="s">
        <v>261</v>
      </c>
      <c r="J2350" s="13"/>
      <c r="K2350" s="13"/>
      <c r="L2350" s="4">
        <v>5</v>
      </c>
      <c r="M2350" s="14">
        <f>119*(1-P3/100)</f>
        <v>119</v>
      </c>
      <c r="N2350" s="15"/>
      <c r="O2350" s="13">
        <f t="shared" si="105"/>
        <v>0</v>
      </c>
      <c r="P2350" s="22">
        <f>0.125*N2350</f>
        <v>0</v>
      </c>
      <c r="Q2350" s="23">
        <f>0.00021*N2350</f>
        <v>0</v>
      </c>
      <c r="R2350" s="24"/>
      <c r="S2350" s="25" t="s">
        <v>10420</v>
      </c>
      <c r="T2350" s="25" t="s">
        <v>43</v>
      </c>
      <c r="U2350" s="5" t="s">
        <v>4057</v>
      </c>
      <c r="V2350" s="5"/>
      <c r="W2350" s="5" t="s">
        <v>46</v>
      </c>
      <c r="X2350" s="5" t="s">
        <v>9262</v>
      </c>
      <c r="Y2350" s="5"/>
      <c r="Z2350" s="5" t="str">
        <f>HYPERLINK("https://knigipp.ru/api/getInfo/image/6781ea5b-c686-11e1-81d3-5ef3fc502493")</f>
        <v>https://knigipp.ru/api/getInfo/image/6781ea5b-c686-11e1-81d3-5ef3fc502493</v>
      </c>
      <c r="AA2350" s="33">
        <v>10</v>
      </c>
      <c r="AB2350" s="5"/>
      <c r="AC2350" s="5" t="s">
        <v>140</v>
      </c>
      <c r="AD2350" s="5"/>
      <c r="AE2350" s="5" t="s">
        <v>49</v>
      </c>
      <c r="AF2350" s="5"/>
      <c r="AG2350" s="5" t="s">
        <v>10415</v>
      </c>
      <c r="AH2350" s="5" t="s">
        <v>10416</v>
      </c>
    </row>
    <row r="2351" spans="2:34" ht="21" customHeight="1" outlineLevel="4" x14ac:dyDescent="0.2">
      <c r="B2351" s="42">
        <v>1850</v>
      </c>
      <c r="C2351" s="5" t="s">
        <v>10421</v>
      </c>
      <c r="D2351" s="5" t="s">
        <v>10422</v>
      </c>
      <c r="E2351" s="6" t="s">
        <v>10423</v>
      </c>
      <c r="F2351" s="10"/>
      <c r="G2351" s="11" t="s">
        <v>10413</v>
      </c>
      <c r="H2351" s="12">
        <v>40</v>
      </c>
      <c r="I2351" s="13" t="s">
        <v>371</v>
      </c>
      <c r="J2351" s="13"/>
      <c r="K2351" s="13"/>
      <c r="L2351" s="4">
        <v>5</v>
      </c>
      <c r="M2351" s="14">
        <f>119*(1-P3/100)</f>
        <v>119</v>
      </c>
      <c r="N2351" s="15"/>
      <c r="O2351" s="13">
        <f t="shared" si="105"/>
        <v>0</v>
      </c>
      <c r="P2351" s="22">
        <f>0.124*N2351</f>
        <v>0</v>
      </c>
      <c r="Q2351" s="23">
        <f>0.00021*N2351</f>
        <v>0</v>
      </c>
      <c r="R2351" s="24"/>
      <c r="S2351" s="25" t="s">
        <v>10424</v>
      </c>
      <c r="T2351" s="25" t="s">
        <v>43</v>
      </c>
      <c r="U2351" s="5"/>
      <c r="V2351" s="5"/>
      <c r="W2351" s="5" t="s">
        <v>46</v>
      </c>
      <c r="X2351" s="5" t="s">
        <v>10425</v>
      </c>
      <c r="Y2351" s="5"/>
      <c r="Z2351" s="5" t="str">
        <f>HYPERLINK("https://knigipp.ru/api/getInfo/image/0d118285-54f3-11e4-af3d-5cf3fc4a2490")</f>
        <v>https://knigipp.ru/api/getInfo/image/0d118285-54f3-11e4-af3d-5cf3fc4a2490</v>
      </c>
      <c r="AA2351" s="33">
        <v>10</v>
      </c>
      <c r="AB2351" s="5"/>
      <c r="AC2351" s="5" t="s">
        <v>140</v>
      </c>
      <c r="AD2351" s="5"/>
      <c r="AE2351" s="5" t="s">
        <v>49</v>
      </c>
      <c r="AF2351" s="5"/>
      <c r="AG2351" s="5" t="s">
        <v>10415</v>
      </c>
      <c r="AH2351" s="5" t="s">
        <v>10416</v>
      </c>
    </row>
    <row r="2352" spans="2:34" ht="21" customHeight="1" outlineLevel="4" x14ac:dyDescent="0.2">
      <c r="B2352" s="42">
        <v>1851</v>
      </c>
      <c r="C2352" s="5" t="s">
        <v>10426</v>
      </c>
      <c r="D2352" s="5" t="s">
        <v>10427</v>
      </c>
      <c r="E2352" s="6" t="s">
        <v>10428</v>
      </c>
      <c r="F2352" s="10"/>
      <c r="G2352" s="11" t="s">
        <v>10429</v>
      </c>
      <c r="H2352" s="12">
        <v>40</v>
      </c>
      <c r="I2352" s="13" t="s">
        <v>261</v>
      </c>
      <c r="J2352" s="13"/>
      <c r="K2352" s="13"/>
      <c r="L2352" s="4">
        <v>5</v>
      </c>
      <c r="M2352" s="14">
        <f>119*(1-P3/100)</f>
        <v>119</v>
      </c>
      <c r="N2352" s="15"/>
      <c r="O2352" s="13">
        <f t="shared" si="105"/>
        <v>0</v>
      </c>
      <c r="P2352" s="13">
        <v>0</v>
      </c>
      <c r="Q2352" s="13">
        <v>0</v>
      </c>
      <c r="R2352" s="24"/>
      <c r="S2352" s="25" t="s">
        <v>10430</v>
      </c>
      <c r="T2352" s="25" t="s">
        <v>43</v>
      </c>
      <c r="U2352" s="5"/>
      <c r="V2352" s="5"/>
      <c r="W2352" s="5" t="s">
        <v>46</v>
      </c>
      <c r="X2352" s="5"/>
      <c r="Y2352" s="5"/>
      <c r="Z2352" s="5" t="str">
        <f>HYPERLINK("https://knigipp.ru/api/getInfo/image/00f6f740-d1dd-11ec-a212-ac1f6b442185")</f>
        <v>https://knigipp.ru/api/getInfo/image/00f6f740-d1dd-11ec-a212-ac1f6b442185</v>
      </c>
      <c r="AA2352" s="33">
        <v>10</v>
      </c>
      <c r="AB2352" s="5"/>
      <c r="AC2352" s="5" t="s">
        <v>140</v>
      </c>
      <c r="AD2352" s="5"/>
      <c r="AE2352" s="5" t="s">
        <v>49</v>
      </c>
      <c r="AF2352" s="5"/>
      <c r="AG2352" s="5" t="s">
        <v>10415</v>
      </c>
      <c r="AH2352" s="5" t="s">
        <v>10416</v>
      </c>
    </row>
    <row r="2353" spans="2:35" ht="21" customHeight="1" outlineLevel="4" x14ac:dyDescent="0.2">
      <c r="B2353" s="42">
        <v>1852</v>
      </c>
      <c r="C2353" s="5" t="s">
        <v>10431</v>
      </c>
      <c r="D2353" s="5" t="s">
        <v>10432</v>
      </c>
      <c r="E2353" s="6" t="s">
        <v>10433</v>
      </c>
      <c r="F2353" s="10"/>
      <c r="G2353" s="11" t="s">
        <v>10413</v>
      </c>
      <c r="H2353" s="12">
        <v>40</v>
      </c>
      <c r="I2353" s="13" t="s">
        <v>371</v>
      </c>
      <c r="J2353" s="13"/>
      <c r="K2353" s="13"/>
      <c r="L2353" s="4">
        <v>5</v>
      </c>
      <c r="M2353" s="14">
        <f>119*(1-P3/100)</f>
        <v>119</v>
      </c>
      <c r="N2353" s="15"/>
      <c r="O2353" s="13">
        <f t="shared" si="105"/>
        <v>0</v>
      </c>
      <c r="P2353" s="22">
        <f>0.125*N2353</f>
        <v>0</v>
      </c>
      <c r="Q2353" s="23">
        <f>0.00021*N2353</f>
        <v>0</v>
      </c>
      <c r="R2353" s="24"/>
      <c r="S2353" s="25" t="s">
        <v>10434</v>
      </c>
      <c r="T2353" s="25" t="s">
        <v>43</v>
      </c>
      <c r="U2353" s="5" t="s">
        <v>9442</v>
      </c>
      <c r="V2353" s="5"/>
      <c r="W2353" s="5" t="s">
        <v>46</v>
      </c>
      <c r="X2353" s="5" t="s">
        <v>10425</v>
      </c>
      <c r="Y2353" s="5"/>
      <c r="Z2353" s="5" t="str">
        <f>HYPERLINK("https://knigipp.ru/api/getInfo/image/dd73af22-54fa-11e4-af3d-5cf3fc4a2490")</f>
        <v>https://knigipp.ru/api/getInfo/image/dd73af22-54fa-11e4-af3d-5cf3fc4a2490</v>
      </c>
      <c r="AA2353" s="33">
        <v>10</v>
      </c>
      <c r="AB2353" s="5"/>
      <c r="AC2353" s="5" t="s">
        <v>140</v>
      </c>
      <c r="AD2353" s="5"/>
      <c r="AE2353" s="5" t="s">
        <v>49</v>
      </c>
      <c r="AF2353" s="5"/>
      <c r="AG2353" s="5" t="s">
        <v>10415</v>
      </c>
      <c r="AH2353" s="5" t="s">
        <v>10416</v>
      </c>
    </row>
    <row r="2354" spans="2:35" ht="21" customHeight="1" outlineLevel="4" x14ac:dyDescent="0.2">
      <c r="B2354" s="42">
        <v>1853</v>
      </c>
      <c r="C2354" s="5" t="s">
        <v>10435</v>
      </c>
      <c r="D2354" s="5" t="s">
        <v>10436</v>
      </c>
      <c r="E2354" s="6" t="s">
        <v>10437</v>
      </c>
      <c r="F2354" s="10"/>
      <c r="G2354" s="11" t="s">
        <v>10413</v>
      </c>
      <c r="H2354" s="12">
        <v>40</v>
      </c>
      <c r="I2354" s="13" t="s">
        <v>261</v>
      </c>
      <c r="J2354" s="13"/>
      <c r="K2354" s="13"/>
      <c r="L2354" s="4">
        <v>5</v>
      </c>
      <c r="M2354" s="14">
        <f>119*(1-P3/100)</f>
        <v>119</v>
      </c>
      <c r="N2354" s="15"/>
      <c r="O2354" s="13">
        <f t="shared" si="105"/>
        <v>0</v>
      </c>
      <c r="P2354" s="22">
        <f>0.113*N2354</f>
        <v>0</v>
      </c>
      <c r="Q2354" s="23">
        <f>0.00073*N2354</f>
        <v>0</v>
      </c>
      <c r="R2354" s="24"/>
      <c r="S2354" s="25" t="s">
        <v>10438</v>
      </c>
      <c r="T2354" s="25" t="s">
        <v>43</v>
      </c>
      <c r="U2354" s="5" t="s">
        <v>4057</v>
      </c>
      <c r="V2354" s="5"/>
      <c r="W2354" s="5" t="s">
        <v>46</v>
      </c>
      <c r="X2354" s="5" t="s">
        <v>10425</v>
      </c>
      <c r="Y2354" s="5"/>
      <c r="Z2354" s="5" t="str">
        <f>HYPERLINK("https://knigipp.ru/api/getInfo/image/6781ea64-c686-11e1-81d3-5ef3fc502493")</f>
        <v>https://knigipp.ru/api/getInfo/image/6781ea64-c686-11e1-81d3-5ef3fc502493</v>
      </c>
      <c r="AA2354" s="33">
        <v>10</v>
      </c>
      <c r="AB2354" s="5"/>
      <c r="AC2354" s="5" t="s">
        <v>140</v>
      </c>
      <c r="AD2354" s="5"/>
      <c r="AE2354" s="5" t="s">
        <v>49</v>
      </c>
      <c r="AF2354" s="5"/>
      <c r="AG2354" s="5" t="s">
        <v>10415</v>
      </c>
      <c r="AH2354" s="5" t="s">
        <v>10416</v>
      </c>
    </row>
    <row r="2355" spans="2:35" ht="21" customHeight="1" outlineLevel="4" x14ac:dyDescent="0.2">
      <c r="B2355" s="42">
        <v>1854</v>
      </c>
      <c r="C2355" s="5" t="s">
        <v>10439</v>
      </c>
      <c r="D2355" s="5" t="s">
        <v>10440</v>
      </c>
      <c r="E2355" s="6" t="s">
        <v>10441</v>
      </c>
      <c r="F2355" s="10"/>
      <c r="G2355" s="11" t="s">
        <v>10413</v>
      </c>
      <c r="H2355" s="12">
        <v>40</v>
      </c>
      <c r="I2355" s="13" t="s">
        <v>261</v>
      </c>
      <c r="J2355" s="13"/>
      <c r="K2355" s="13"/>
      <c r="L2355" s="4">
        <v>5</v>
      </c>
      <c r="M2355" s="14">
        <f>119*(1-P3/100)</f>
        <v>119</v>
      </c>
      <c r="N2355" s="15"/>
      <c r="O2355" s="13">
        <f t="shared" si="105"/>
        <v>0</v>
      </c>
      <c r="P2355" s="22">
        <f>0.125*N2355</f>
        <v>0</v>
      </c>
      <c r="Q2355" s="23">
        <f>0.00021*N2355</f>
        <v>0</v>
      </c>
      <c r="R2355" s="24"/>
      <c r="S2355" s="25" t="s">
        <v>10442</v>
      </c>
      <c r="T2355" s="25" t="s">
        <v>43</v>
      </c>
      <c r="U2355" s="5" t="s">
        <v>4057</v>
      </c>
      <c r="V2355" s="5"/>
      <c r="W2355" s="5" t="s">
        <v>46</v>
      </c>
      <c r="X2355" s="5" t="s">
        <v>9262</v>
      </c>
      <c r="Y2355" s="5"/>
      <c r="Z2355" s="5" t="str">
        <f>HYPERLINK("https://knigipp.ru/api/getInfo/image/6781ea65-c686-11e1-81d3-5ef3fc502493")</f>
        <v>https://knigipp.ru/api/getInfo/image/6781ea65-c686-11e1-81d3-5ef3fc502493</v>
      </c>
      <c r="AA2355" s="33">
        <v>10</v>
      </c>
      <c r="AB2355" s="5"/>
      <c r="AC2355" s="5" t="s">
        <v>140</v>
      </c>
      <c r="AD2355" s="5"/>
      <c r="AE2355" s="5" t="s">
        <v>49</v>
      </c>
      <c r="AF2355" s="5"/>
      <c r="AG2355" s="5" t="s">
        <v>10415</v>
      </c>
      <c r="AH2355" s="5" t="s">
        <v>10416</v>
      </c>
    </row>
    <row r="2356" spans="2:35" ht="21" customHeight="1" outlineLevel="4" x14ac:dyDescent="0.2">
      <c r="B2356" s="42">
        <v>1855</v>
      </c>
      <c r="C2356" s="5" t="s">
        <v>10443</v>
      </c>
      <c r="D2356" s="5" t="s">
        <v>10444</v>
      </c>
      <c r="E2356" s="6" t="s">
        <v>10445</v>
      </c>
      <c r="F2356" s="10"/>
      <c r="G2356" s="11" t="s">
        <v>10413</v>
      </c>
      <c r="H2356" s="12">
        <v>40</v>
      </c>
      <c r="I2356" s="13" t="s">
        <v>261</v>
      </c>
      <c r="J2356" s="13"/>
      <c r="K2356" s="13"/>
      <c r="L2356" s="4">
        <v>5</v>
      </c>
      <c r="M2356" s="14">
        <f>119*(1-P3/100)</f>
        <v>119</v>
      </c>
      <c r="N2356" s="15"/>
      <c r="O2356" s="13">
        <f t="shared" si="105"/>
        <v>0</v>
      </c>
      <c r="P2356" s="22">
        <f>0.125*N2356</f>
        <v>0</v>
      </c>
      <c r="Q2356" s="23">
        <f>0.00021*N2356</f>
        <v>0</v>
      </c>
      <c r="R2356" s="24"/>
      <c r="S2356" s="25" t="s">
        <v>10446</v>
      </c>
      <c r="T2356" s="25" t="s">
        <v>43</v>
      </c>
      <c r="U2356" s="5" t="s">
        <v>10447</v>
      </c>
      <c r="V2356" s="5"/>
      <c r="W2356" s="5" t="s">
        <v>46</v>
      </c>
      <c r="X2356" s="5" t="s">
        <v>10425</v>
      </c>
      <c r="Y2356" s="5"/>
      <c r="Z2356" s="5" t="str">
        <f>HYPERLINK("https://knigipp.ru/api/getInfo/image/ee247342-54fa-11e4-af3d-5cf3fc4a2490")</f>
        <v>https://knigipp.ru/api/getInfo/image/ee247342-54fa-11e4-af3d-5cf3fc4a2490</v>
      </c>
      <c r="AA2356" s="33">
        <v>10</v>
      </c>
      <c r="AB2356" s="5"/>
      <c r="AC2356" s="5" t="s">
        <v>140</v>
      </c>
      <c r="AD2356" s="5"/>
      <c r="AE2356" s="5" t="s">
        <v>49</v>
      </c>
      <c r="AF2356" s="5"/>
      <c r="AG2356" s="5" t="s">
        <v>10415</v>
      </c>
      <c r="AH2356" s="5" t="s">
        <v>10416</v>
      </c>
    </row>
    <row r="2357" spans="2:35" ht="21" customHeight="1" outlineLevel="4" x14ac:dyDescent="0.2">
      <c r="B2357" s="42">
        <v>1856</v>
      </c>
      <c r="C2357" s="5" t="s">
        <v>10448</v>
      </c>
      <c r="D2357" s="5" t="s">
        <v>10449</v>
      </c>
      <c r="E2357" s="6" t="s">
        <v>10450</v>
      </c>
      <c r="F2357" s="10"/>
      <c r="G2357" s="11" t="s">
        <v>10413</v>
      </c>
      <c r="H2357" s="12">
        <v>40</v>
      </c>
      <c r="I2357" s="13" t="s">
        <v>261</v>
      </c>
      <c r="J2357" s="13"/>
      <c r="K2357" s="13"/>
      <c r="L2357" s="4">
        <v>5</v>
      </c>
      <c r="M2357" s="14">
        <f>119*(1-P3/100)</f>
        <v>119</v>
      </c>
      <c r="N2357" s="15"/>
      <c r="O2357" s="13">
        <f t="shared" si="105"/>
        <v>0</v>
      </c>
      <c r="P2357" s="22">
        <f>0.125*N2357</f>
        <v>0</v>
      </c>
      <c r="Q2357" s="23">
        <f>0.00021*N2357</f>
        <v>0</v>
      </c>
      <c r="R2357" s="24"/>
      <c r="S2357" s="25" t="s">
        <v>10451</v>
      </c>
      <c r="T2357" s="25" t="s">
        <v>43</v>
      </c>
      <c r="U2357" s="5" t="s">
        <v>4057</v>
      </c>
      <c r="V2357" s="5"/>
      <c r="W2357" s="5" t="s">
        <v>46</v>
      </c>
      <c r="X2357" s="5" t="s">
        <v>9262</v>
      </c>
      <c r="Y2357" s="5"/>
      <c r="Z2357" s="5" t="str">
        <f>HYPERLINK("https://knigipp.ru/api/getInfo/image/6781ea66-c686-11e1-81d3-5ef3fc502493")</f>
        <v>https://knigipp.ru/api/getInfo/image/6781ea66-c686-11e1-81d3-5ef3fc502493</v>
      </c>
      <c r="AA2357" s="33">
        <v>10</v>
      </c>
      <c r="AB2357" s="5"/>
      <c r="AC2357" s="5" t="s">
        <v>140</v>
      </c>
      <c r="AD2357" s="5"/>
      <c r="AE2357" s="5" t="s">
        <v>49</v>
      </c>
      <c r="AF2357" s="5"/>
      <c r="AG2357" s="5" t="s">
        <v>10415</v>
      </c>
      <c r="AH2357" s="5" t="s">
        <v>10416</v>
      </c>
    </row>
    <row r="2358" spans="2:35" ht="21" customHeight="1" outlineLevel="4" x14ac:dyDescent="0.2">
      <c r="B2358" s="42">
        <v>1857</v>
      </c>
      <c r="C2358" s="5" t="s">
        <v>10452</v>
      </c>
      <c r="D2358" s="5" t="s">
        <v>10453</v>
      </c>
      <c r="E2358" s="6" t="s">
        <v>10454</v>
      </c>
      <c r="F2358" s="10"/>
      <c r="G2358" s="11" t="s">
        <v>10455</v>
      </c>
      <c r="H2358" s="12">
        <v>40</v>
      </c>
      <c r="I2358" s="13" t="s">
        <v>261</v>
      </c>
      <c r="J2358" s="13"/>
      <c r="K2358" s="13"/>
      <c r="L2358" s="4">
        <v>5</v>
      </c>
      <c r="M2358" s="14">
        <f>119*(1-P3/100)</f>
        <v>119</v>
      </c>
      <c r="N2358" s="15"/>
      <c r="O2358" s="13">
        <f t="shared" si="105"/>
        <v>0</v>
      </c>
      <c r="P2358" s="22">
        <f>0.125*N2358</f>
        <v>0</v>
      </c>
      <c r="Q2358" s="23">
        <f>0.00021*N2358</f>
        <v>0</v>
      </c>
      <c r="R2358" s="24"/>
      <c r="S2358" s="25" t="s">
        <v>10456</v>
      </c>
      <c r="T2358" s="25" t="s">
        <v>43</v>
      </c>
      <c r="U2358" s="5" t="s">
        <v>9114</v>
      </c>
      <c r="V2358" s="5"/>
      <c r="W2358" s="5" t="s">
        <v>46</v>
      </c>
      <c r="X2358" s="5" t="s">
        <v>10425</v>
      </c>
      <c r="Y2358" s="5"/>
      <c r="Z2358" s="5" t="str">
        <f>HYPERLINK("https://knigipp.ru/api/getInfo/image/a265f282-54fa-11e4-af3d-5cf3fc4a2490")</f>
        <v>https://knigipp.ru/api/getInfo/image/a265f282-54fa-11e4-af3d-5cf3fc4a2490</v>
      </c>
      <c r="AA2358" s="33">
        <v>10</v>
      </c>
      <c r="AB2358" s="5"/>
      <c r="AC2358" s="5" t="s">
        <v>140</v>
      </c>
      <c r="AD2358" s="5"/>
      <c r="AE2358" s="5" t="s">
        <v>49</v>
      </c>
      <c r="AF2358" s="5"/>
      <c r="AG2358" s="5" t="s">
        <v>10415</v>
      </c>
      <c r="AH2358" s="5" t="s">
        <v>10416</v>
      </c>
    </row>
    <row r="2359" spans="2:35" ht="21" customHeight="1" outlineLevel="4" x14ac:dyDescent="0.2">
      <c r="B2359" s="42">
        <v>1858</v>
      </c>
      <c r="C2359" s="5" t="s">
        <v>10457</v>
      </c>
      <c r="D2359" s="5" t="s">
        <v>10458</v>
      </c>
      <c r="E2359" s="6" t="s">
        <v>10459</v>
      </c>
      <c r="F2359" s="10"/>
      <c r="G2359" s="11" t="s">
        <v>10413</v>
      </c>
      <c r="H2359" s="12">
        <v>40</v>
      </c>
      <c r="I2359" s="13" t="s">
        <v>261</v>
      </c>
      <c r="J2359" s="13"/>
      <c r="K2359" s="13"/>
      <c r="L2359" s="4">
        <v>5</v>
      </c>
      <c r="M2359" s="14">
        <f>119*(1-P3/100)</f>
        <v>119</v>
      </c>
      <c r="N2359" s="15"/>
      <c r="O2359" s="13">
        <f t="shared" si="105"/>
        <v>0</v>
      </c>
      <c r="P2359" s="22">
        <f>0.113*N2359</f>
        <v>0</v>
      </c>
      <c r="Q2359" s="23">
        <f>0.00073*N2359</f>
        <v>0</v>
      </c>
      <c r="R2359" s="24"/>
      <c r="S2359" s="25" t="s">
        <v>10460</v>
      </c>
      <c r="T2359" s="25" t="s">
        <v>43</v>
      </c>
      <c r="U2359" s="5" t="s">
        <v>9442</v>
      </c>
      <c r="V2359" s="5"/>
      <c r="W2359" s="5" t="s">
        <v>46</v>
      </c>
      <c r="X2359" s="5" t="s">
        <v>10425</v>
      </c>
      <c r="Y2359" s="5"/>
      <c r="Z2359" s="5" t="str">
        <f>HYPERLINK("https://knigipp.ru/api/getInfo/image/1719fc22-54fb-11e4-af3d-5cf3fc4a2490")</f>
        <v>https://knigipp.ru/api/getInfo/image/1719fc22-54fb-11e4-af3d-5cf3fc4a2490</v>
      </c>
      <c r="AA2359" s="33">
        <v>10</v>
      </c>
      <c r="AB2359" s="5"/>
      <c r="AC2359" s="5" t="s">
        <v>140</v>
      </c>
      <c r="AD2359" s="5"/>
      <c r="AE2359" s="5" t="s">
        <v>49</v>
      </c>
      <c r="AF2359" s="5"/>
      <c r="AG2359" s="5" t="s">
        <v>10415</v>
      </c>
      <c r="AH2359" s="5" t="s">
        <v>10416</v>
      </c>
    </row>
    <row r="2360" spans="2:35" ht="21" customHeight="1" outlineLevel="4" x14ac:dyDescent="0.2">
      <c r="B2360" s="42">
        <v>1859</v>
      </c>
      <c r="C2360" s="5" t="s">
        <v>10461</v>
      </c>
      <c r="D2360" s="5" t="s">
        <v>10462</v>
      </c>
      <c r="E2360" s="6" t="s">
        <v>10463</v>
      </c>
      <c r="F2360" s="10"/>
      <c r="G2360" s="11" t="s">
        <v>10413</v>
      </c>
      <c r="H2360" s="12">
        <v>40</v>
      </c>
      <c r="I2360" s="13" t="s">
        <v>371</v>
      </c>
      <c r="J2360" s="13"/>
      <c r="K2360" s="13"/>
      <c r="L2360" s="4">
        <v>5</v>
      </c>
      <c r="M2360" s="14">
        <f>119*(1-P3/100)</f>
        <v>119</v>
      </c>
      <c r="N2360" s="15"/>
      <c r="O2360" s="13">
        <f t="shared" si="105"/>
        <v>0</v>
      </c>
      <c r="P2360" s="22">
        <f>0.125*N2360</f>
        <v>0</v>
      </c>
      <c r="Q2360" s="23">
        <f>0.00021*N2360</f>
        <v>0</v>
      </c>
      <c r="R2360" s="24"/>
      <c r="S2360" s="25" t="s">
        <v>10464</v>
      </c>
      <c r="T2360" s="25" t="s">
        <v>43</v>
      </c>
      <c r="U2360" s="5" t="s">
        <v>4057</v>
      </c>
      <c r="V2360" s="5"/>
      <c r="W2360" s="5" t="s">
        <v>46</v>
      </c>
      <c r="X2360" s="5" t="s">
        <v>9262</v>
      </c>
      <c r="Y2360" s="5"/>
      <c r="Z2360" s="5" t="str">
        <f>HYPERLINK("https://knigipp.ru/api/getInfo/image/6781ea6d-c686-11e1-81d3-5ef3fc502493")</f>
        <v>https://knigipp.ru/api/getInfo/image/6781ea6d-c686-11e1-81d3-5ef3fc502493</v>
      </c>
      <c r="AA2360" s="33">
        <v>10</v>
      </c>
      <c r="AB2360" s="5"/>
      <c r="AC2360" s="5" t="s">
        <v>140</v>
      </c>
      <c r="AD2360" s="5"/>
      <c r="AE2360" s="5" t="s">
        <v>49</v>
      </c>
      <c r="AF2360" s="5"/>
      <c r="AG2360" s="5" t="s">
        <v>10415</v>
      </c>
      <c r="AH2360" s="5" t="s">
        <v>10416</v>
      </c>
    </row>
    <row r="2361" spans="2:35" ht="22.95" customHeight="1" outlineLevel="3" x14ac:dyDescent="0.2">
      <c r="B2361" s="74" t="s">
        <v>10465</v>
      </c>
      <c r="C2361" s="74"/>
      <c r="D2361" s="74"/>
    </row>
    <row r="2362" spans="2:35" ht="21" customHeight="1" outlineLevel="4" x14ac:dyDescent="0.2">
      <c r="B2362" s="43">
        <v>1860</v>
      </c>
      <c r="C2362" s="8" t="s">
        <v>10466</v>
      </c>
      <c r="D2362" s="8" t="s">
        <v>10467</v>
      </c>
      <c r="E2362" s="9" t="s">
        <v>10468</v>
      </c>
      <c r="F2362" s="16"/>
      <c r="G2362" s="17" t="s">
        <v>10469</v>
      </c>
      <c r="H2362" s="18">
        <v>20</v>
      </c>
      <c r="I2362" s="19" t="s">
        <v>41</v>
      </c>
      <c r="J2362" s="19"/>
      <c r="K2362" s="19"/>
      <c r="L2362" s="7">
        <v>3</v>
      </c>
      <c r="M2362" s="21">
        <f>227*(1-P3/100)</f>
        <v>227</v>
      </c>
      <c r="N2362" s="15"/>
      <c r="O2362" s="19">
        <f>M2362*N2362</f>
        <v>0</v>
      </c>
      <c r="P2362" s="60">
        <f>0.1*N2362</f>
        <v>0</v>
      </c>
      <c r="Q2362" s="27">
        <f>0.00089*N2362</f>
        <v>0</v>
      </c>
      <c r="R2362" s="28" t="s">
        <v>81</v>
      </c>
      <c r="S2362" s="29" t="s">
        <v>10470</v>
      </c>
      <c r="T2362" s="29" t="s">
        <v>43</v>
      </c>
      <c r="U2362" s="8" t="s">
        <v>10268</v>
      </c>
      <c r="V2362" s="8" t="s">
        <v>10471</v>
      </c>
      <c r="W2362" s="8" t="s">
        <v>46</v>
      </c>
      <c r="X2362" s="8"/>
      <c r="Y2362" s="8"/>
      <c r="Z2362" s="8" t="str">
        <f>HYPERLINK("https://knigipp.ru/api/getInfo/image/aef8b8b2-9e0a-11f0-a285-00155d82e908")</f>
        <v>https://knigipp.ru/api/getInfo/image/aef8b8b2-9e0a-11f0-a285-00155d82e908</v>
      </c>
      <c r="AA2362" s="34">
        <v>10</v>
      </c>
      <c r="AB2362" s="8" t="s">
        <v>47</v>
      </c>
      <c r="AC2362" s="8" t="s">
        <v>140</v>
      </c>
      <c r="AD2362" s="8"/>
      <c r="AE2362" s="8" t="s">
        <v>49</v>
      </c>
      <c r="AF2362" s="8"/>
      <c r="AG2362" s="8"/>
      <c r="AH2362" s="8" t="s">
        <v>10472</v>
      </c>
      <c r="AI2362" s="55"/>
    </row>
    <row r="2363" spans="2:35" ht="21" customHeight="1" outlineLevel="4" x14ac:dyDescent="0.2">
      <c r="B2363" s="43">
        <v>1861</v>
      </c>
      <c r="C2363" s="8" t="s">
        <v>10473</v>
      </c>
      <c r="D2363" s="8" t="s">
        <v>10474</v>
      </c>
      <c r="E2363" s="9" t="s">
        <v>10475</v>
      </c>
      <c r="F2363" s="16"/>
      <c r="G2363" s="17" t="s">
        <v>10469</v>
      </c>
      <c r="H2363" s="18">
        <v>20</v>
      </c>
      <c r="I2363" s="19" t="s">
        <v>41</v>
      </c>
      <c r="J2363" s="19"/>
      <c r="K2363" s="19"/>
      <c r="L2363" s="7">
        <v>3</v>
      </c>
      <c r="M2363" s="21">
        <f>227*(1-P3/100)</f>
        <v>227</v>
      </c>
      <c r="N2363" s="15"/>
      <c r="O2363" s="19">
        <f>M2363*N2363</f>
        <v>0</v>
      </c>
      <c r="P2363" s="26">
        <f>0.102*N2363</f>
        <v>0</v>
      </c>
      <c r="Q2363" s="27">
        <f>0.00075*N2363</f>
        <v>0</v>
      </c>
      <c r="R2363" s="28" t="s">
        <v>81</v>
      </c>
      <c r="S2363" s="29" t="s">
        <v>10476</v>
      </c>
      <c r="T2363" s="29" t="s">
        <v>43</v>
      </c>
      <c r="U2363" s="8" t="s">
        <v>10268</v>
      </c>
      <c r="V2363" s="8" t="s">
        <v>10477</v>
      </c>
      <c r="W2363" s="8" t="s">
        <v>46</v>
      </c>
      <c r="X2363" s="8"/>
      <c r="Y2363" s="8"/>
      <c r="Z2363" s="8" t="str">
        <f>HYPERLINK("https://knigipp.ru/api/getInfo/image/47e852e4-9e0c-11f0-a285-00155d82e908")</f>
        <v>https://knigipp.ru/api/getInfo/image/47e852e4-9e0c-11f0-a285-00155d82e908</v>
      </c>
      <c r="AA2363" s="34">
        <v>10</v>
      </c>
      <c r="AB2363" s="8" t="s">
        <v>47</v>
      </c>
      <c r="AC2363" s="8" t="s">
        <v>140</v>
      </c>
      <c r="AD2363" s="8"/>
      <c r="AE2363" s="8" t="s">
        <v>49</v>
      </c>
      <c r="AF2363" s="8"/>
      <c r="AG2363" s="8"/>
      <c r="AH2363" s="8" t="s">
        <v>10472</v>
      </c>
      <c r="AI2363" s="55"/>
    </row>
    <row r="2364" spans="2:35" ht="21" customHeight="1" outlineLevel="4" x14ac:dyDescent="0.2">
      <c r="B2364" s="43">
        <v>1862</v>
      </c>
      <c r="C2364" s="8" t="s">
        <v>10478</v>
      </c>
      <c r="D2364" s="8" t="s">
        <v>10479</v>
      </c>
      <c r="E2364" s="9" t="s">
        <v>10480</v>
      </c>
      <c r="F2364" s="16"/>
      <c r="G2364" s="17" t="s">
        <v>10469</v>
      </c>
      <c r="H2364" s="18">
        <v>20</v>
      </c>
      <c r="I2364" s="19" t="s">
        <v>41</v>
      </c>
      <c r="J2364" s="19"/>
      <c r="K2364" s="19"/>
      <c r="L2364" s="7">
        <v>3</v>
      </c>
      <c r="M2364" s="21">
        <f>227*(1-P3/100)</f>
        <v>227</v>
      </c>
      <c r="N2364" s="15"/>
      <c r="O2364" s="19">
        <f>M2364*N2364</f>
        <v>0</v>
      </c>
      <c r="P2364" s="60">
        <f>0.1*N2364</f>
        <v>0</v>
      </c>
      <c r="Q2364" s="27">
        <f>0.00089*N2364</f>
        <v>0</v>
      </c>
      <c r="R2364" s="28" t="s">
        <v>81</v>
      </c>
      <c r="S2364" s="29" t="s">
        <v>10481</v>
      </c>
      <c r="T2364" s="29" t="s">
        <v>43</v>
      </c>
      <c r="U2364" s="8" t="s">
        <v>10268</v>
      </c>
      <c r="V2364" s="8" t="s">
        <v>10482</v>
      </c>
      <c r="W2364" s="8" t="s">
        <v>46</v>
      </c>
      <c r="X2364" s="8"/>
      <c r="Y2364" s="8"/>
      <c r="Z2364" s="8" t="str">
        <f>HYPERLINK("https://knigipp.ru/api/getInfo/image/1b2965b7-9e0c-11f0-a285-00155d82e908")</f>
        <v>https://knigipp.ru/api/getInfo/image/1b2965b7-9e0c-11f0-a285-00155d82e908</v>
      </c>
      <c r="AA2364" s="34">
        <v>10</v>
      </c>
      <c r="AB2364" s="8" t="s">
        <v>47</v>
      </c>
      <c r="AC2364" s="8" t="s">
        <v>140</v>
      </c>
      <c r="AD2364" s="8"/>
      <c r="AE2364" s="8" t="s">
        <v>49</v>
      </c>
      <c r="AF2364" s="8"/>
      <c r="AG2364" s="8"/>
      <c r="AH2364" s="8" t="s">
        <v>10472</v>
      </c>
      <c r="AI2364" s="55"/>
    </row>
    <row r="2365" spans="2:35" ht="21" customHeight="1" outlineLevel="4" x14ac:dyDescent="0.2">
      <c r="B2365" s="43">
        <v>1863</v>
      </c>
      <c r="C2365" s="8" t="s">
        <v>10483</v>
      </c>
      <c r="D2365" s="8" t="s">
        <v>10484</v>
      </c>
      <c r="E2365" s="9" t="s">
        <v>10485</v>
      </c>
      <c r="F2365" s="16"/>
      <c r="G2365" s="17" t="s">
        <v>10469</v>
      </c>
      <c r="H2365" s="18">
        <v>20</v>
      </c>
      <c r="I2365" s="19" t="s">
        <v>41</v>
      </c>
      <c r="J2365" s="19"/>
      <c r="K2365" s="19"/>
      <c r="L2365" s="7">
        <v>3</v>
      </c>
      <c r="M2365" s="21">
        <f>227*(1-P3/100)</f>
        <v>227</v>
      </c>
      <c r="N2365" s="15"/>
      <c r="O2365" s="19">
        <f>M2365*N2365</f>
        <v>0</v>
      </c>
      <c r="P2365" s="60">
        <f>0.1*N2365</f>
        <v>0</v>
      </c>
      <c r="Q2365" s="27">
        <f>0.00089*N2365</f>
        <v>0</v>
      </c>
      <c r="R2365" s="28" t="s">
        <v>81</v>
      </c>
      <c r="S2365" s="29" t="s">
        <v>10486</v>
      </c>
      <c r="T2365" s="29" t="s">
        <v>43</v>
      </c>
      <c r="U2365" s="8" t="s">
        <v>10268</v>
      </c>
      <c r="V2365" s="8" t="s">
        <v>10487</v>
      </c>
      <c r="W2365" s="8" t="s">
        <v>46</v>
      </c>
      <c r="X2365" s="8"/>
      <c r="Y2365" s="8"/>
      <c r="Z2365" s="8" t="str">
        <f>HYPERLINK("https://knigipp.ru/api/getInfo/image/7b4f34e7-9e0c-11f0-a285-00155d82e908")</f>
        <v>https://knigipp.ru/api/getInfo/image/7b4f34e7-9e0c-11f0-a285-00155d82e908</v>
      </c>
      <c r="AA2365" s="34">
        <v>10</v>
      </c>
      <c r="AB2365" s="8" t="s">
        <v>47</v>
      </c>
      <c r="AC2365" s="8" t="s">
        <v>140</v>
      </c>
      <c r="AD2365" s="8"/>
      <c r="AE2365" s="8" t="s">
        <v>49</v>
      </c>
      <c r="AF2365" s="8"/>
      <c r="AG2365" s="8"/>
      <c r="AH2365" s="8" t="s">
        <v>10472</v>
      </c>
      <c r="AI2365" s="55"/>
    </row>
    <row r="2366" spans="2:35" ht="22.95" customHeight="1" outlineLevel="3" x14ac:dyDescent="0.2">
      <c r="B2366" s="74" t="s">
        <v>10488</v>
      </c>
      <c r="C2366" s="74"/>
      <c r="D2366" s="74"/>
    </row>
    <row r="2367" spans="2:35" ht="21" customHeight="1" outlineLevel="4" x14ac:dyDescent="0.2">
      <c r="B2367" s="42">
        <v>1864</v>
      </c>
      <c r="C2367" s="5" t="s">
        <v>10489</v>
      </c>
      <c r="D2367" s="5" t="s">
        <v>10490</v>
      </c>
      <c r="E2367" s="6" t="s">
        <v>10491</v>
      </c>
      <c r="F2367" s="10"/>
      <c r="G2367" s="11" t="s">
        <v>10492</v>
      </c>
      <c r="H2367" s="12">
        <v>15</v>
      </c>
      <c r="I2367" s="13" t="s">
        <v>41</v>
      </c>
      <c r="J2367" s="13"/>
      <c r="K2367" s="13"/>
      <c r="L2367" s="4">
        <v>5</v>
      </c>
      <c r="M2367" s="14">
        <f>139*(1-P3/100)</f>
        <v>139</v>
      </c>
      <c r="N2367" s="15"/>
      <c r="O2367" s="13">
        <f>M2367*N2367</f>
        <v>0</v>
      </c>
      <c r="P2367" s="22">
        <f>0.081*N2367</f>
        <v>0</v>
      </c>
      <c r="Q2367" s="23">
        <f>0.00017*N2367</f>
        <v>0</v>
      </c>
      <c r="R2367" s="24"/>
      <c r="S2367" s="25" t="s">
        <v>10493</v>
      </c>
      <c r="T2367" s="25" t="s">
        <v>43</v>
      </c>
      <c r="U2367" s="5" t="s">
        <v>128</v>
      </c>
      <c r="V2367" s="5"/>
      <c r="W2367" s="5" t="s">
        <v>46</v>
      </c>
      <c r="X2367" s="5"/>
      <c r="Y2367" s="5"/>
      <c r="Z2367" s="5" t="str">
        <f>HYPERLINK("https://knigipp.ru/api/getInfo/image/fb350ff0-c0f5-11ee-a25a-00155d82e908")</f>
        <v>https://knigipp.ru/api/getInfo/image/fb350ff0-c0f5-11ee-a25a-00155d82e908</v>
      </c>
      <c r="AA2367" s="33">
        <v>10</v>
      </c>
      <c r="AB2367" s="5" t="s">
        <v>47</v>
      </c>
      <c r="AC2367" s="5" t="s">
        <v>140</v>
      </c>
      <c r="AD2367" s="5"/>
      <c r="AE2367" s="5" t="s">
        <v>49</v>
      </c>
      <c r="AF2367" s="5"/>
      <c r="AG2367" s="5"/>
      <c r="AH2367" s="5" t="s">
        <v>10494</v>
      </c>
    </row>
    <row r="2368" spans="2:35" ht="21" customHeight="1" outlineLevel="4" x14ac:dyDescent="0.2">
      <c r="B2368" s="42">
        <v>1865</v>
      </c>
      <c r="C2368" s="5" t="s">
        <v>10495</v>
      </c>
      <c r="D2368" s="5" t="s">
        <v>10496</v>
      </c>
      <c r="E2368" s="6" t="s">
        <v>10497</v>
      </c>
      <c r="F2368" s="10"/>
      <c r="G2368" s="11" t="s">
        <v>10492</v>
      </c>
      <c r="H2368" s="12">
        <v>15</v>
      </c>
      <c r="I2368" s="13" t="s">
        <v>41</v>
      </c>
      <c r="J2368" s="13"/>
      <c r="K2368" s="13"/>
      <c r="L2368" s="4">
        <v>5</v>
      </c>
      <c r="M2368" s="14">
        <f>139*(1-P3/100)</f>
        <v>139</v>
      </c>
      <c r="N2368" s="15"/>
      <c r="O2368" s="13">
        <f>M2368*N2368</f>
        <v>0</v>
      </c>
      <c r="P2368" s="22">
        <f>0.065*N2368</f>
        <v>0</v>
      </c>
      <c r="Q2368" s="23">
        <f>0.00032*N2368</f>
        <v>0</v>
      </c>
      <c r="R2368" s="24"/>
      <c r="S2368" s="25" t="s">
        <v>10498</v>
      </c>
      <c r="T2368" s="25" t="s">
        <v>43</v>
      </c>
      <c r="U2368" s="5" t="s">
        <v>128</v>
      </c>
      <c r="V2368" s="5"/>
      <c r="W2368" s="5" t="s">
        <v>46</v>
      </c>
      <c r="X2368" s="5"/>
      <c r="Y2368" s="5"/>
      <c r="Z2368" s="5" t="str">
        <f>HYPERLINK("https://knigipp.ru/api/getInfo/image/a9947958-c0f6-11ee-a25a-00155d82e908")</f>
        <v>https://knigipp.ru/api/getInfo/image/a9947958-c0f6-11ee-a25a-00155d82e908</v>
      </c>
      <c r="AA2368" s="33">
        <v>10</v>
      </c>
      <c r="AB2368" s="5" t="s">
        <v>47</v>
      </c>
      <c r="AC2368" s="5" t="s">
        <v>140</v>
      </c>
      <c r="AD2368" s="5"/>
      <c r="AE2368" s="5" t="s">
        <v>49</v>
      </c>
      <c r="AF2368" s="5"/>
      <c r="AG2368" s="5"/>
      <c r="AH2368" s="5" t="s">
        <v>10494</v>
      </c>
    </row>
    <row r="2369" spans="2:35" ht="21" customHeight="1" outlineLevel="4" x14ac:dyDescent="0.2">
      <c r="B2369" s="42">
        <v>1866</v>
      </c>
      <c r="C2369" s="5" t="s">
        <v>10499</v>
      </c>
      <c r="D2369" s="5" t="s">
        <v>10500</v>
      </c>
      <c r="E2369" s="6" t="s">
        <v>10501</v>
      </c>
      <c r="F2369" s="10"/>
      <c r="G2369" s="11" t="s">
        <v>10492</v>
      </c>
      <c r="H2369" s="12">
        <v>15</v>
      </c>
      <c r="I2369" s="13" t="s">
        <v>41</v>
      </c>
      <c r="J2369" s="13"/>
      <c r="K2369" s="13"/>
      <c r="L2369" s="4">
        <v>5</v>
      </c>
      <c r="M2369" s="14">
        <f>139*(1-P3/100)</f>
        <v>139</v>
      </c>
      <c r="N2369" s="15"/>
      <c r="O2369" s="13">
        <f>M2369*N2369</f>
        <v>0</v>
      </c>
      <c r="P2369" s="22">
        <f>0.069*N2369</f>
        <v>0</v>
      </c>
      <c r="Q2369" s="23">
        <f>0.00062*N2369</f>
        <v>0</v>
      </c>
      <c r="R2369" s="24"/>
      <c r="S2369" s="25" t="s">
        <v>10502</v>
      </c>
      <c r="T2369" s="25" t="s">
        <v>43</v>
      </c>
      <c r="U2369" s="5" t="s">
        <v>128</v>
      </c>
      <c r="V2369" s="5"/>
      <c r="W2369" s="5" t="s">
        <v>46</v>
      </c>
      <c r="X2369" s="5"/>
      <c r="Y2369" s="5"/>
      <c r="Z2369" s="5" t="str">
        <f>HYPERLINK("https://knigipp.ru/api/getInfo/image/d1de8760-c0f6-11ee-a25a-00155d82e908")</f>
        <v>https://knigipp.ru/api/getInfo/image/d1de8760-c0f6-11ee-a25a-00155d82e908</v>
      </c>
      <c r="AA2369" s="33">
        <v>10</v>
      </c>
      <c r="AB2369" s="5" t="s">
        <v>47</v>
      </c>
      <c r="AC2369" s="5" t="s">
        <v>140</v>
      </c>
      <c r="AD2369" s="5"/>
      <c r="AE2369" s="5" t="s">
        <v>49</v>
      </c>
      <c r="AF2369" s="5"/>
      <c r="AG2369" s="5"/>
      <c r="AH2369" s="5" t="s">
        <v>10494</v>
      </c>
    </row>
    <row r="2370" spans="2:35" ht="21" customHeight="1" outlineLevel="4" x14ac:dyDescent="0.2">
      <c r="B2370" s="42">
        <v>1867</v>
      </c>
      <c r="C2370" s="5" t="s">
        <v>10503</v>
      </c>
      <c r="D2370" s="5" t="s">
        <v>10504</v>
      </c>
      <c r="E2370" s="6" t="s">
        <v>10505</v>
      </c>
      <c r="F2370" s="10"/>
      <c r="G2370" s="11" t="s">
        <v>10492</v>
      </c>
      <c r="H2370" s="12">
        <v>15</v>
      </c>
      <c r="I2370" s="13" t="s">
        <v>41</v>
      </c>
      <c r="J2370" s="13"/>
      <c r="K2370" s="13"/>
      <c r="L2370" s="4">
        <v>5</v>
      </c>
      <c r="M2370" s="14">
        <f>139*(1-P3/100)</f>
        <v>139</v>
      </c>
      <c r="N2370" s="15"/>
      <c r="O2370" s="13">
        <f>M2370*N2370</f>
        <v>0</v>
      </c>
      <c r="P2370" s="22">
        <f>0.068*N2370</f>
        <v>0</v>
      </c>
      <c r="Q2370" s="23">
        <f>0.00066*N2370</f>
        <v>0</v>
      </c>
      <c r="R2370" s="24"/>
      <c r="S2370" s="25" t="s">
        <v>10506</v>
      </c>
      <c r="T2370" s="25" t="s">
        <v>43</v>
      </c>
      <c r="U2370" s="5" t="s">
        <v>128</v>
      </c>
      <c r="V2370" s="5"/>
      <c r="W2370" s="5" t="s">
        <v>46</v>
      </c>
      <c r="X2370" s="5"/>
      <c r="Y2370" s="5"/>
      <c r="Z2370" s="5" t="str">
        <f>HYPERLINK("https://knigipp.ru/api/getInfo/image/ed3b76cb-c0f6-11ee-a25a-00155d82e908")</f>
        <v>https://knigipp.ru/api/getInfo/image/ed3b76cb-c0f6-11ee-a25a-00155d82e908</v>
      </c>
      <c r="AA2370" s="33">
        <v>10</v>
      </c>
      <c r="AB2370" s="5" t="s">
        <v>47</v>
      </c>
      <c r="AC2370" s="5" t="s">
        <v>140</v>
      </c>
      <c r="AD2370" s="5"/>
      <c r="AE2370" s="5" t="s">
        <v>49</v>
      </c>
      <c r="AF2370" s="5"/>
      <c r="AG2370" s="5"/>
      <c r="AH2370" s="5" t="s">
        <v>10494</v>
      </c>
    </row>
    <row r="2371" spans="2:35" ht="22.95" customHeight="1" outlineLevel="3" x14ac:dyDescent="0.2">
      <c r="B2371" s="74" t="s">
        <v>10507</v>
      </c>
      <c r="C2371" s="74"/>
      <c r="D2371" s="74"/>
    </row>
    <row r="2372" spans="2:35" ht="21" customHeight="1" outlineLevel="4" x14ac:dyDescent="0.2">
      <c r="B2372" s="42">
        <v>1868</v>
      </c>
      <c r="C2372" s="5" t="s">
        <v>10508</v>
      </c>
      <c r="D2372" s="5" t="s">
        <v>10509</v>
      </c>
      <c r="E2372" s="6" t="s">
        <v>10510</v>
      </c>
      <c r="F2372" s="10"/>
      <c r="G2372" s="11" t="s">
        <v>10511</v>
      </c>
      <c r="H2372" s="12">
        <v>60</v>
      </c>
      <c r="I2372" s="13" t="s">
        <v>371</v>
      </c>
      <c r="J2372" s="13"/>
      <c r="K2372" s="13"/>
      <c r="L2372" s="4">
        <v>2</v>
      </c>
      <c r="M2372" s="14">
        <f>397*(1-P3/100)</f>
        <v>397</v>
      </c>
      <c r="N2372" s="15"/>
      <c r="O2372" s="13">
        <f>M2372*N2372</f>
        <v>0</v>
      </c>
      <c r="P2372" s="13">
        <v>0</v>
      </c>
      <c r="Q2372" s="13">
        <v>0</v>
      </c>
      <c r="R2372" s="24"/>
      <c r="S2372" s="25" t="s">
        <v>10512</v>
      </c>
      <c r="T2372" s="25" t="s">
        <v>43</v>
      </c>
      <c r="U2372" s="5"/>
      <c r="V2372" s="5"/>
      <c r="W2372" s="5" t="s">
        <v>46</v>
      </c>
      <c r="X2372" s="5"/>
      <c r="Y2372" s="5"/>
      <c r="Z2372" s="5" t="str">
        <f>HYPERLINK("https://knigipp.ru/api/getInfo/image/fa473c4e-7b61-11eb-a275-ac1f6b442184")</f>
        <v>https://knigipp.ru/api/getInfo/image/fa473c4e-7b61-11eb-a275-ac1f6b442184</v>
      </c>
      <c r="AA2372" s="33">
        <v>10</v>
      </c>
      <c r="AB2372" s="5"/>
      <c r="AC2372" s="5" t="s">
        <v>140</v>
      </c>
      <c r="AD2372" s="5"/>
      <c r="AE2372" s="5" t="s">
        <v>49</v>
      </c>
      <c r="AF2372" s="5"/>
      <c r="AG2372" s="5"/>
      <c r="AH2372" s="5" t="s">
        <v>10513</v>
      </c>
    </row>
    <row r="2373" spans="2:35" ht="21" customHeight="1" outlineLevel="4" x14ac:dyDescent="0.2">
      <c r="B2373" s="42">
        <v>1869</v>
      </c>
      <c r="C2373" s="5" t="s">
        <v>10514</v>
      </c>
      <c r="D2373" s="5" t="s">
        <v>10515</v>
      </c>
      <c r="E2373" s="6" t="s">
        <v>10516</v>
      </c>
      <c r="F2373" s="10"/>
      <c r="G2373" s="11" t="s">
        <v>10511</v>
      </c>
      <c r="H2373" s="12">
        <v>60</v>
      </c>
      <c r="I2373" s="13" t="s">
        <v>41</v>
      </c>
      <c r="J2373" s="13"/>
      <c r="K2373" s="13"/>
      <c r="L2373" s="4">
        <v>2</v>
      </c>
      <c r="M2373" s="14">
        <f>397*(1-P3/100)</f>
        <v>397</v>
      </c>
      <c r="N2373" s="15"/>
      <c r="O2373" s="13">
        <f>M2373*N2373</f>
        <v>0</v>
      </c>
      <c r="P2373" s="13">
        <v>0</v>
      </c>
      <c r="Q2373" s="13">
        <v>0</v>
      </c>
      <c r="R2373" s="24"/>
      <c r="S2373" s="25" t="s">
        <v>10517</v>
      </c>
      <c r="T2373" s="25" t="s">
        <v>43</v>
      </c>
      <c r="U2373" s="5"/>
      <c r="V2373" s="5"/>
      <c r="W2373" s="5" t="s">
        <v>46</v>
      </c>
      <c r="X2373" s="5"/>
      <c r="Y2373" s="5"/>
      <c r="Z2373" s="5" t="str">
        <f>HYPERLINK("https://knigipp.ru/api/getInfo/image/7c8df6d2-7b62-11eb-a275-ac1f6b442184")</f>
        <v>https://knigipp.ru/api/getInfo/image/7c8df6d2-7b62-11eb-a275-ac1f6b442184</v>
      </c>
      <c r="AA2373" s="33">
        <v>10</v>
      </c>
      <c r="AB2373" s="5"/>
      <c r="AC2373" s="5" t="s">
        <v>140</v>
      </c>
      <c r="AD2373" s="5"/>
      <c r="AE2373" s="5" t="s">
        <v>49</v>
      </c>
      <c r="AF2373" s="5"/>
      <c r="AG2373" s="5"/>
      <c r="AH2373" s="5" t="s">
        <v>10513</v>
      </c>
    </row>
    <row r="2374" spans="2:35" ht="21" customHeight="1" outlineLevel="4" x14ac:dyDescent="0.2">
      <c r="B2374" s="42">
        <v>1870</v>
      </c>
      <c r="C2374" s="5" t="s">
        <v>10518</v>
      </c>
      <c r="D2374" s="5" t="s">
        <v>10519</v>
      </c>
      <c r="E2374" s="6" t="s">
        <v>10520</v>
      </c>
      <c r="F2374" s="10"/>
      <c r="G2374" s="11" t="s">
        <v>10511</v>
      </c>
      <c r="H2374" s="12">
        <v>60</v>
      </c>
      <c r="I2374" s="13" t="s">
        <v>41</v>
      </c>
      <c r="J2374" s="13"/>
      <c r="K2374" s="13"/>
      <c r="L2374" s="4">
        <v>2</v>
      </c>
      <c r="M2374" s="14">
        <f>397*(1-P3/100)</f>
        <v>397</v>
      </c>
      <c r="N2374" s="15"/>
      <c r="O2374" s="13">
        <f>M2374*N2374</f>
        <v>0</v>
      </c>
      <c r="P2374" s="13">
        <v>0</v>
      </c>
      <c r="Q2374" s="13">
        <v>0</v>
      </c>
      <c r="R2374" s="24"/>
      <c r="S2374" s="25" t="s">
        <v>10521</v>
      </c>
      <c r="T2374" s="25" t="s">
        <v>43</v>
      </c>
      <c r="U2374" s="5"/>
      <c r="V2374" s="5"/>
      <c r="W2374" s="5" t="s">
        <v>46</v>
      </c>
      <c r="X2374" s="5"/>
      <c r="Y2374" s="5"/>
      <c r="Z2374" s="5" t="str">
        <f>HYPERLINK("https://knigipp.ru/api/getInfo/image/a432079f-7b62-11eb-a275-ac1f6b442184")</f>
        <v>https://knigipp.ru/api/getInfo/image/a432079f-7b62-11eb-a275-ac1f6b442184</v>
      </c>
      <c r="AA2374" s="33">
        <v>10</v>
      </c>
      <c r="AB2374" s="5"/>
      <c r="AC2374" s="5" t="s">
        <v>140</v>
      </c>
      <c r="AD2374" s="5"/>
      <c r="AE2374" s="5" t="s">
        <v>49</v>
      </c>
      <c r="AF2374" s="5"/>
      <c r="AG2374" s="5"/>
      <c r="AH2374" s="5" t="s">
        <v>10513</v>
      </c>
    </row>
    <row r="2375" spans="2:35" ht="21" customHeight="1" outlineLevel="4" x14ac:dyDescent="0.2">
      <c r="B2375" s="42">
        <v>1871</v>
      </c>
      <c r="C2375" s="5" t="s">
        <v>10522</v>
      </c>
      <c r="D2375" s="5" t="s">
        <v>10523</v>
      </c>
      <c r="E2375" s="6" t="s">
        <v>10524</v>
      </c>
      <c r="F2375" s="10"/>
      <c r="G2375" s="11" t="s">
        <v>10511</v>
      </c>
      <c r="H2375" s="12">
        <v>60</v>
      </c>
      <c r="I2375" s="13" t="s">
        <v>371</v>
      </c>
      <c r="J2375" s="13"/>
      <c r="K2375" s="13"/>
      <c r="L2375" s="4">
        <v>2</v>
      </c>
      <c r="M2375" s="14">
        <f>397*(1-P3/100)</f>
        <v>397</v>
      </c>
      <c r="N2375" s="15"/>
      <c r="O2375" s="13">
        <f>M2375*N2375</f>
        <v>0</v>
      </c>
      <c r="P2375" s="13">
        <v>0</v>
      </c>
      <c r="Q2375" s="13">
        <v>0</v>
      </c>
      <c r="R2375" s="24"/>
      <c r="S2375" s="25" t="s">
        <v>10525</v>
      </c>
      <c r="T2375" s="25" t="s">
        <v>43</v>
      </c>
      <c r="U2375" s="5"/>
      <c r="V2375" s="5"/>
      <c r="W2375" s="5" t="s">
        <v>46</v>
      </c>
      <c r="X2375" s="5"/>
      <c r="Y2375" s="5"/>
      <c r="Z2375" s="5" t="str">
        <f>HYPERLINK("https://knigipp.ru/api/getInfo/image/51ae81fc-7b62-11eb-a275-ac1f6b442184")</f>
        <v>https://knigipp.ru/api/getInfo/image/51ae81fc-7b62-11eb-a275-ac1f6b442184</v>
      </c>
      <c r="AA2375" s="33">
        <v>10</v>
      </c>
      <c r="AB2375" s="5"/>
      <c r="AC2375" s="5" t="s">
        <v>140</v>
      </c>
      <c r="AD2375" s="5"/>
      <c r="AE2375" s="5" t="s">
        <v>49</v>
      </c>
      <c r="AF2375" s="5"/>
      <c r="AG2375" s="5"/>
      <c r="AH2375" s="5" t="s">
        <v>10513</v>
      </c>
    </row>
    <row r="2376" spans="2:35" ht="22.95" customHeight="1" outlineLevel="2" x14ac:dyDescent="0.2">
      <c r="B2376" s="73" t="s">
        <v>10526</v>
      </c>
      <c r="C2376" s="73"/>
      <c r="D2376" s="73"/>
    </row>
    <row r="2377" spans="2:35" ht="22.95" customHeight="1" outlineLevel="3" x14ac:dyDescent="0.2">
      <c r="B2377" s="74" t="s">
        <v>10527</v>
      </c>
      <c r="C2377" s="74"/>
      <c r="D2377" s="74"/>
    </row>
    <row r="2378" spans="2:35" ht="21" customHeight="1" outlineLevel="4" x14ac:dyDescent="0.2">
      <c r="B2378" s="43">
        <v>1872</v>
      </c>
      <c r="C2378" s="8" t="s">
        <v>10528</v>
      </c>
      <c r="D2378" s="8" t="s">
        <v>10529</v>
      </c>
      <c r="E2378" s="9" t="s">
        <v>10530</v>
      </c>
      <c r="F2378" s="16"/>
      <c r="G2378" s="17" t="s">
        <v>10531</v>
      </c>
      <c r="H2378" s="18">
        <v>30</v>
      </c>
      <c r="I2378" s="19" t="s">
        <v>41</v>
      </c>
      <c r="J2378" s="19"/>
      <c r="K2378" s="19"/>
      <c r="L2378" s="7">
        <v>3</v>
      </c>
      <c r="M2378" s="21">
        <f>249*(1-P3/100)</f>
        <v>249</v>
      </c>
      <c r="N2378" s="15"/>
      <c r="O2378" s="19">
        <f>M2378*N2378</f>
        <v>0</v>
      </c>
      <c r="P2378" s="26">
        <f>0.119*N2378</f>
        <v>0</v>
      </c>
      <c r="Q2378" s="27">
        <f>0.00011*N2378</f>
        <v>0</v>
      </c>
      <c r="R2378" s="28" t="s">
        <v>81</v>
      </c>
      <c r="S2378" s="29" t="s">
        <v>10532</v>
      </c>
      <c r="T2378" s="29" t="s">
        <v>43</v>
      </c>
      <c r="U2378" s="8" t="s">
        <v>5271</v>
      </c>
      <c r="V2378" s="8" t="s">
        <v>10533</v>
      </c>
      <c r="W2378" s="8" t="s">
        <v>46</v>
      </c>
      <c r="X2378" s="8"/>
      <c r="Y2378" s="8"/>
      <c r="Z2378" s="8" t="str">
        <f>HYPERLINK("https://knigipp.ru/api/getInfo/image/8404e8d7-e579-11f0-a28c-00155d82e908")</f>
        <v>https://knigipp.ru/api/getInfo/image/8404e8d7-e579-11f0-a28c-00155d82e908</v>
      </c>
      <c r="AA2378" s="34">
        <v>10</v>
      </c>
      <c r="AB2378" s="8" t="s">
        <v>47</v>
      </c>
      <c r="AC2378" s="8" t="s">
        <v>140</v>
      </c>
      <c r="AD2378" s="8"/>
      <c r="AE2378" s="8"/>
      <c r="AF2378" s="8"/>
      <c r="AG2378" s="8"/>
      <c r="AH2378" s="8" t="s">
        <v>10534</v>
      </c>
      <c r="AI2378" s="55"/>
    </row>
    <row r="2379" spans="2:35" ht="21" customHeight="1" outlineLevel="4" x14ac:dyDescent="0.2">
      <c r="B2379" s="43">
        <v>1873</v>
      </c>
      <c r="C2379" s="8" t="s">
        <v>10535</v>
      </c>
      <c r="D2379" s="8" t="s">
        <v>10536</v>
      </c>
      <c r="E2379" s="9" t="s">
        <v>10537</v>
      </c>
      <c r="F2379" s="16"/>
      <c r="G2379" s="17" t="s">
        <v>10531</v>
      </c>
      <c r="H2379" s="18">
        <v>30</v>
      </c>
      <c r="I2379" s="19" t="s">
        <v>41</v>
      </c>
      <c r="J2379" s="19"/>
      <c r="K2379" s="19"/>
      <c r="L2379" s="7">
        <v>3</v>
      </c>
      <c r="M2379" s="21">
        <f>249*(1-P3/100)</f>
        <v>249</v>
      </c>
      <c r="N2379" s="15"/>
      <c r="O2379" s="19">
        <f>M2379*N2379</f>
        <v>0</v>
      </c>
      <c r="P2379" s="26">
        <f>0.116*N2379</f>
        <v>0</v>
      </c>
      <c r="Q2379" s="27">
        <f>0.00026*N2379</f>
        <v>0</v>
      </c>
      <c r="R2379" s="28" t="s">
        <v>81</v>
      </c>
      <c r="S2379" s="29" t="s">
        <v>10538</v>
      </c>
      <c r="T2379" s="29" t="s">
        <v>43</v>
      </c>
      <c r="U2379" s="8" t="s">
        <v>5271</v>
      </c>
      <c r="V2379" s="8" t="s">
        <v>10539</v>
      </c>
      <c r="W2379" s="8" t="s">
        <v>46</v>
      </c>
      <c r="X2379" s="8"/>
      <c r="Y2379" s="8"/>
      <c r="Z2379" s="8" t="str">
        <f>HYPERLINK("https://knigipp.ru/api/getInfo/image/eb6c2e8d-e579-11f0-a28c-00155d82e908")</f>
        <v>https://knigipp.ru/api/getInfo/image/eb6c2e8d-e579-11f0-a28c-00155d82e908</v>
      </c>
      <c r="AA2379" s="34">
        <v>10</v>
      </c>
      <c r="AB2379" s="8" t="s">
        <v>47</v>
      </c>
      <c r="AC2379" s="8" t="s">
        <v>140</v>
      </c>
      <c r="AD2379" s="8"/>
      <c r="AE2379" s="8"/>
      <c r="AF2379" s="8"/>
      <c r="AG2379" s="8"/>
      <c r="AH2379" s="8" t="s">
        <v>10534</v>
      </c>
      <c r="AI2379" s="55"/>
    </row>
    <row r="2380" spans="2:35" ht="21" customHeight="1" outlineLevel="4" x14ac:dyDescent="0.2">
      <c r="B2380" s="43">
        <v>1874</v>
      </c>
      <c r="C2380" s="8" t="s">
        <v>10540</v>
      </c>
      <c r="D2380" s="8" t="s">
        <v>10541</v>
      </c>
      <c r="E2380" s="9" t="s">
        <v>10542</v>
      </c>
      <c r="F2380" s="16"/>
      <c r="G2380" s="17" t="s">
        <v>10531</v>
      </c>
      <c r="H2380" s="18">
        <v>30</v>
      </c>
      <c r="I2380" s="19" t="s">
        <v>41</v>
      </c>
      <c r="J2380" s="19"/>
      <c r="K2380" s="19"/>
      <c r="L2380" s="7">
        <v>3</v>
      </c>
      <c r="M2380" s="21">
        <f>249*(1-P3/100)</f>
        <v>249</v>
      </c>
      <c r="N2380" s="15"/>
      <c r="O2380" s="19">
        <f>M2380*N2380</f>
        <v>0</v>
      </c>
      <c r="P2380" s="26">
        <f>0.118*N2380</f>
        <v>0</v>
      </c>
      <c r="Q2380" s="27">
        <f>0.00051*N2380</f>
        <v>0</v>
      </c>
      <c r="R2380" s="28" t="s">
        <v>81</v>
      </c>
      <c r="S2380" s="29" t="s">
        <v>10543</v>
      </c>
      <c r="T2380" s="29" t="s">
        <v>43</v>
      </c>
      <c r="U2380" s="8" t="s">
        <v>5271</v>
      </c>
      <c r="V2380" s="8" t="s">
        <v>10544</v>
      </c>
      <c r="W2380" s="8" t="s">
        <v>46</v>
      </c>
      <c r="X2380" s="8"/>
      <c r="Y2380" s="8"/>
      <c r="Z2380" s="8" t="str">
        <f>HYPERLINK("https://knigipp.ru/api/getInfo/image/0eb8c3c5-e57a-11f0-a28c-00155d82e908")</f>
        <v>https://knigipp.ru/api/getInfo/image/0eb8c3c5-e57a-11f0-a28c-00155d82e908</v>
      </c>
      <c r="AA2380" s="34">
        <v>10</v>
      </c>
      <c r="AB2380" s="8" t="s">
        <v>47</v>
      </c>
      <c r="AC2380" s="8" t="s">
        <v>140</v>
      </c>
      <c r="AD2380" s="8"/>
      <c r="AE2380" s="8"/>
      <c r="AF2380" s="8"/>
      <c r="AG2380" s="8"/>
      <c r="AH2380" s="8" t="s">
        <v>10534</v>
      </c>
      <c r="AI2380" s="55"/>
    </row>
    <row r="2381" spans="2:35" ht="21" customHeight="1" outlineLevel="4" x14ac:dyDescent="0.2">
      <c r="B2381" s="43">
        <v>1875</v>
      </c>
      <c r="C2381" s="8" t="s">
        <v>10545</v>
      </c>
      <c r="D2381" s="8" t="s">
        <v>10546</v>
      </c>
      <c r="E2381" s="9" t="s">
        <v>10547</v>
      </c>
      <c r="F2381" s="16"/>
      <c r="G2381" s="17" t="s">
        <v>10531</v>
      </c>
      <c r="H2381" s="18">
        <v>30</v>
      </c>
      <c r="I2381" s="19" t="s">
        <v>41</v>
      </c>
      <c r="J2381" s="19"/>
      <c r="K2381" s="19"/>
      <c r="L2381" s="7">
        <v>3</v>
      </c>
      <c r="M2381" s="21">
        <f>249*(1-P3/100)</f>
        <v>249</v>
      </c>
      <c r="N2381" s="15"/>
      <c r="O2381" s="19">
        <f>M2381*N2381</f>
        <v>0</v>
      </c>
      <c r="P2381" s="26">
        <f>0.116*N2381</f>
        <v>0</v>
      </c>
      <c r="Q2381" s="27">
        <f>0.00025*N2381</f>
        <v>0</v>
      </c>
      <c r="R2381" s="28" t="s">
        <v>81</v>
      </c>
      <c r="S2381" s="29" t="s">
        <v>10548</v>
      </c>
      <c r="T2381" s="29" t="s">
        <v>43</v>
      </c>
      <c r="U2381" s="8" t="s">
        <v>5271</v>
      </c>
      <c r="V2381" s="8" t="s">
        <v>10549</v>
      </c>
      <c r="W2381" s="8" t="s">
        <v>46</v>
      </c>
      <c r="X2381" s="8"/>
      <c r="Y2381" s="8"/>
      <c r="Z2381" s="8" t="str">
        <f>HYPERLINK("https://knigipp.ru/api/getInfo/image/b6b5fc6f-e579-11f0-a28c-00155d82e908")</f>
        <v>https://knigipp.ru/api/getInfo/image/b6b5fc6f-e579-11f0-a28c-00155d82e908</v>
      </c>
      <c r="AA2381" s="34">
        <v>10</v>
      </c>
      <c r="AB2381" s="8" t="s">
        <v>47</v>
      </c>
      <c r="AC2381" s="8" t="s">
        <v>140</v>
      </c>
      <c r="AD2381" s="8"/>
      <c r="AE2381" s="8"/>
      <c r="AF2381" s="8"/>
      <c r="AG2381" s="8"/>
      <c r="AH2381" s="8" t="s">
        <v>10534</v>
      </c>
      <c r="AI2381" s="55"/>
    </row>
    <row r="2382" spans="2:35" ht="22.95" customHeight="1" outlineLevel="3" x14ac:dyDescent="0.2">
      <c r="B2382" s="74" t="s">
        <v>10550</v>
      </c>
      <c r="C2382" s="74"/>
      <c r="D2382" s="74"/>
    </row>
    <row r="2383" spans="2:35" ht="21" customHeight="1" outlineLevel="4" x14ac:dyDescent="0.2">
      <c r="B2383" s="56">
        <v>1876</v>
      </c>
      <c r="C2383" s="40" t="s">
        <v>10551</v>
      </c>
      <c r="D2383" s="40" t="s">
        <v>10552</v>
      </c>
      <c r="E2383" s="41" t="s">
        <v>10553</v>
      </c>
      <c r="F2383" s="44"/>
      <c r="G2383" s="45" t="s">
        <v>10554</v>
      </c>
      <c r="H2383" s="46">
        <v>40</v>
      </c>
      <c r="I2383" s="47" t="s">
        <v>371</v>
      </c>
      <c r="J2383" s="47"/>
      <c r="K2383" s="47"/>
      <c r="L2383" s="39">
        <v>5</v>
      </c>
      <c r="M2383" s="57">
        <v>61.979166666666671</v>
      </c>
      <c r="N2383" s="15"/>
      <c r="O2383" s="47">
        <f>M2383*N2383</f>
        <v>0</v>
      </c>
      <c r="P2383" s="49">
        <f>0.08*N2383</f>
        <v>0</v>
      </c>
      <c r="Q2383" s="50">
        <f>0.00014*N2383</f>
        <v>0</v>
      </c>
      <c r="R2383" s="51"/>
      <c r="S2383" s="52" t="s">
        <v>10555</v>
      </c>
      <c r="T2383" s="52" t="s">
        <v>43</v>
      </c>
      <c r="U2383" s="40" t="s">
        <v>10447</v>
      </c>
      <c r="V2383" s="40"/>
      <c r="W2383" s="40" t="s">
        <v>46</v>
      </c>
      <c r="X2383" s="40" t="s">
        <v>9826</v>
      </c>
      <c r="Y2383" s="40"/>
      <c r="Z2383" s="40" t="str">
        <f>HYPERLINK("https://knigipp.ru/api/getInfo/image/6f0066b6-c686-11e1-81d3-5ef3fc502493")</f>
        <v>https://knigipp.ru/api/getInfo/image/6f0066b6-c686-11e1-81d3-5ef3fc502493</v>
      </c>
      <c r="AA2383" s="53">
        <v>10</v>
      </c>
      <c r="AB2383" s="40"/>
      <c r="AC2383" s="40" t="s">
        <v>140</v>
      </c>
      <c r="AD2383" s="40"/>
      <c r="AE2383" s="40" t="s">
        <v>49</v>
      </c>
      <c r="AF2383" s="40"/>
      <c r="AG2383" s="40" t="s">
        <v>10556</v>
      </c>
      <c r="AH2383" s="40" t="s">
        <v>10557</v>
      </c>
      <c r="AI2383" s="54" t="s">
        <v>5299</v>
      </c>
    </row>
    <row r="2384" spans="2:35" ht="22.95" customHeight="1" outlineLevel="3" x14ac:dyDescent="0.2">
      <c r="B2384" s="74" t="s">
        <v>10558</v>
      </c>
      <c r="C2384" s="74"/>
      <c r="D2384" s="74"/>
    </row>
    <row r="2385" spans="2:34" ht="21" customHeight="1" outlineLevel="4" x14ac:dyDescent="0.2">
      <c r="B2385" s="42">
        <v>1877</v>
      </c>
      <c r="C2385" s="5" t="s">
        <v>10559</v>
      </c>
      <c r="D2385" s="5" t="s">
        <v>10560</v>
      </c>
      <c r="E2385" s="6" t="s">
        <v>10561</v>
      </c>
      <c r="F2385" s="10"/>
      <c r="G2385" s="11" t="s">
        <v>10562</v>
      </c>
      <c r="H2385" s="12">
        <v>24</v>
      </c>
      <c r="I2385" s="13" t="s">
        <v>41</v>
      </c>
      <c r="J2385" s="13"/>
      <c r="K2385" s="13"/>
      <c r="L2385" s="4">
        <v>2</v>
      </c>
      <c r="M2385" s="14">
        <f>299*(1-P3/100)</f>
        <v>299</v>
      </c>
      <c r="N2385" s="15"/>
      <c r="O2385" s="13">
        <f t="shared" ref="O2385:O2391" si="106">M2385*N2385</f>
        <v>0</v>
      </c>
      <c r="P2385" s="22">
        <f>0.259*N2385</f>
        <v>0</v>
      </c>
      <c r="Q2385" s="23">
        <f>0.00073*N2385</f>
        <v>0</v>
      </c>
      <c r="R2385" s="24"/>
      <c r="S2385" s="25" t="s">
        <v>10563</v>
      </c>
      <c r="T2385" s="25" t="s">
        <v>43</v>
      </c>
      <c r="U2385" s="5" t="s">
        <v>4057</v>
      </c>
      <c r="V2385" s="5"/>
      <c r="W2385" s="5" t="s">
        <v>46</v>
      </c>
      <c r="X2385" s="5"/>
      <c r="Y2385" s="5"/>
      <c r="Z2385" s="5" t="str">
        <f>HYPERLINK("https://knigipp.ru/api/getInfo/image/97db246c-4a06-11ed-a216-ac1f6b442185")</f>
        <v>https://knigipp.ru/api/getInfo/image/97db246c-4a06-11ed-a216-ac1f6b442185</v>
      </c>
      <c r="AA2385" s="33">
        <v>10</v>
      </c>
      <c r="AB2385" s="5" t="s">
        <v>47</v>
      </c>
      <c r="AC2385" s="5" t="s">
        <v>140</v>
      </c>
      <c r="AD2385" s="5"/>
      <c r="AE2385" s="5" t="s">
        <v>49</v>
      </c>
      <c r="AF2385" s="5"/>
      <c r="AG2385" s="5"/>
      <c r="AH2385" s="5" t="s">
        <v>10564</v>
      </c>
    </row>
    <row r="2386" spans="2:34" ht="21" customHeight="1" outlineLevel="4" x14ac:dyDescent="0.2">
      <c r="B2386" s="42">
        <v>1878</v>
      </c>
      <c r="C2386" s="5" t="s">
        <v>10565</v>
      </c>
      <c r="D2386" s="5" t="s">
        <v>10566</v>
      </c>
      <c r="E2386" s="6" t="s">
        <v>10567</v>
      </c>
      <c r="F2386" s="10"/>
      <c r="G2386" s="11" t="s">
        <v>10562</v>
      </c>
      <c r="H2386" s="12">
        <v>24</v>
      </c>
      <c r="I2386" s="13" t="s">
        <v>41</v>
      </c>
      <c r="J2386" s="13"/>
      <c r="K2386" s="13"/>
      <c r="L2386" s="4">
        <v>2</v>
      </c>
      <c r="M2386" s="14">
        <f>299*(1-P3/100)</f>
        <v>299</v>
      </c>
      <c r="N2386" s="15"/>
      <c r="O2386" s="13">
        <f t="shared" si="106"/>
        <v>0</v>
      </c>
      <c r="P2386" s="22">
        <f>0.216*N2386</f>
        <v>0</v>
      </c>
      <c r="Q2386" s="23">
        <f>0.00133*N2386</f>
        <v>0</v>
      </c>
      <c r="R2386" s="24"/>
      <c r="S2386" s="25" t="s">
        <v>10568</v>
      </c>
      <c r="T2386" s="25" t="s">
        <v>43</v>
      </c>
      <c r="U2386" s="5" t="s">
        <v>4057</v>
      </c>
      <c r="V2386" s="5"/>
      <c r="W2386" s="5" t="s">
        <v>46</v>
      </c>
      <c r="X2386" s="5"/>
      <c r="Y2386" s="5"/>
      <c r="Z2386" s="5" t="str">
        <f>HYPERLINK("https://knigipp.ru/api/getInfo/image/f7b52169-4a06-11ed-a216-ac1f6b442185")</f>
        <v>https://knigipp.ru/api/getInfo/image/f7b52169-4a06-11ed-a216-ac1f6b442185</v>
      </c>
      <c r="AA2386" s="33">
        <v>10</v>
      </c>
      <c r="AB2386" s="5" t="s">
        <v>47</v>
      </c>
      <c r="AC2386" s="5" t="s">
        <v>140</v>
      </c>
      <c r="AD2386" s="5"/>
      <c r="AE2386" s="5" t="s">
        <v>49</v>
      </c>
      <c r="AF2386" s="5"/>
      <c r="AG2386" s="5"/>
      <c r="AH2386" s="5" t="s">
        <v>10564</v>
      </c>
    </row>
    <row r="2387" spans="2:34" ht="21" customHeight="1" outlineLevel="4" x14ac:dyDescent="0.2">
      <c r="B2387" s="42">
        <v>1879</v>
      </c>
      <c r="C2387" s="5" t="s">
        <v>10569</v>
      </c>
      <c r="D2387" s="5" t="s">
        <v>10570</v>
      </c>
      <c r="E2387" s="6" t="s">
        <v>10571</v>
      </c>
      <c r="F2387" s="10"/>
      <c r="G2387" s="11" t="s">
        <v>10562</v>
      </c>
      <c r="H2387" s="12">
        <v>24</v>
      </c>
      <c r="I2387" s="13" t="s">
        <v>41</v>
      </c>
      <c r="J2387" s="13"/>
      <c r="K2387" s="13"/>
      <c r="L2387" s="4">
        <v>2</v>
      </c>
      <c r="M2387" s="14">
        <f>299*(1-P3/100)</f>
        <v>299</v>
      </c>
      <c r="N2387" s="15"/>
      <c r="O2387" s="13">
        <f t="shared" si="106"/>
        <v>0</v>
      </c>
      <c r="P2387" s="22">
        <f>0.254*N2387</f>
        <v>0</v>
      </c>
      <c r="Q2387" s="23">
        <f>0.00136*N2387</f>
        <v>0</v>
      </c>
      <c r="R2387" s="24"/>
      <c r="S2387" s="25" t="s">
        <v>10572</v>
      </c>
      <c r="T2387" s="25" t="s">
        <v>43</v>
      </c>
      <c r="U2387" s="5" t="s">
        <v>4057</v>
      </c>
      <c r="V2387" s="5"/>
      <c r="W2387" s="5" t="s">
        <v>46</v>
      </c>
      <c r="X2387" s="5"/>
      <c r="Y2387" s="5"/>
      <c r="Z2387" s="5" t="str">
        <f>HYPERLINK("https://knigipp.ru/api/getInfo/image/ea2a0cfe-4a07-11ed-a216-ac1f6b442185")</f>
        <v>https://knigipp.ru/api/getInfo/image/ea2a0cfe-4a07-11ed-a216-ac1f6b442185</v>
      </c>
      <c r="AA2387" s="33">
        <v>10</v>
      </c>
      <c r="AB2387" s="5" t="s">
        <v>47</v>
      </c>
      <c r="AC2387" s="5" t="s">
        <v>140</v>
      </c>
      <c r="AD2387" s="5"/>
      <c r="AE2387" s="5" t="s">
        <v>49</v>
      </c>
      <c r="AF2387" s="5"/>
      <c r="AG2387" s="5"/>
      <c r="AH2387" s="5" t="s">
        <v>10564</v>
      </c>
    </row>
    <row r="2388" spans="2:34" ht="21" customHeight="1" outlineLevel="4" x14ac:dyDescent="0.2">
      <c r="B2388" s="42">
        <v>1880</v>
      </c>
      <c r="C2388" s="5" t="s">
        <v>10573</v>
      </c>
      <c r="D2388" s="5" t="s">
        <v>10574</v>
      </c>
      <c r="E2388" s="6" t="s">
        <v>10575</v>
      </c>
      <c r="F2388" s="10"/>
      <c r="G2388" s="11" t="s">
        <v>10562</v>
      </c>
      <c r="H2388" s="12">
        <v>24</v>
      </c>
      <c r="I2388" s="13" t="s">
        <v>41</v>
      </c>
      <c r="J2388" s="13"/>
      <c r="K2388" s="13"/>
      <c r="L2388" s="4">
        <v>2</v>
      </c>
      <c r="M2388" s="14">
        <f>299*(1-P3/100)</f>
        <v>299</v>
      </c>
      <c r="N2388" s="15"/>
      <c r="O2388" s="13">
        <f t="shared" si="106"/>
        <v>0</v>
      </c>
      <c r="P2388" s="22">
        <f>0.228*N2388</f>
        <v>0</v>
      </c>
      <c r="Q2388" s="23">
        <f>0.00031*N2388</f>
        <v>0</v>
      </c>
      <c r="R2388" s="24"/>
      <c r="S2388" s="25" t="s">
        <v>10576</v>
      </c>
      <c r="T2388" s="25" t="s">
        <v>43</v>
      </c>
      <c r="U2388" s="5" t="s">
        <v>4057</v>
      </c>
      <c r="V2388" s="5"/>
      <c r="W2388" s="5" t="s">
        <v>46</v>
      </c>
      <c r="X2388" s="5"/>
      <c r="Y2388" s="5"/>
      <c r="Z2388" s="5" t="str">
        <f>HYPERLINK("https://knigipp.ru/api/getInfo/image/984a53c5-c32e-11ed-a230-00155d82e902")</f>
        <v>https://knigipp.ru/api/getInfo/image/984a53c5-c32e-11ed-a230-00155d82e902</v>
      </c>
      <c r="AA2388" s="33">
        <v>10</v>
      </c>
      <c r="AB2388" s="5" t="s">
        <v>47</v>
      </c>
      <c r="AC2388" s="5" t="s">
        <v>140</v>
      </c>
      <c r="AD2388" s="5"/>
      <c r="AE2388" s="5" t="s">
        <v>49</v>
      </c>
      <c r="AF2388" s="5"/>
      <c r="AG2388" s="5"/>
      <c r="AH2388" s="5" t="s">
        <v>10564</v>
      </c>
    </row>
    <row r="2389" spans="2:34" ht="21" customHeight="1" outlineLevel="4" x14ac:dyDescent="0.2">
      <c r="B2389" s="42">
        <v>1881</v>
      </c>
      <c r="C2389" s="5" t="s">
        <v>10577</v>
      </c>
      <c r="D2389" s="5" t="s">
        <v>10578</v>
      </c>
      <c r="E2389" s="6" t="s">
        <v>10579</v>
      </c>
      <c r="F2389" s="10"/>
      <c r="G2389" s="11" t="s">
        <v>10562</v>
      </c>
      <c r="H2389" s="12">
        <v>24</v>
      </c>
      <c r="I2389" s="13" t="s">
        <v>41</v>
      </c>
      <c r="J2389" s="13"/>
      <c r="K2389" s="13"/>
      <c r="L2389" s="4">
        <v>2</v>
      </c>
      <c r="M2389" s="14">
        <f>299*(1-P3/100)</f>
        <v>299</v>
      </c>
      <c r="N2389" s="15"/>
      <c r="O2389" s="13">
        <f t="shared" si="106"/>
        <v>0</v>
      </c>
      <c r="P2389" s="22">
        <f>0.223*N2389</f>
        <v>0</v>
      </c>
      <c r="Q2389" s="23">
        <f>0.00133*N2389</f>
        <v>0</v>
      </c>
      <c r="R2389" s="24"/>
      <c r="S2389" s="25" t="s">
        <v>10580</v>
      </c>
      <c r="T2389" s="25" t="s">
        <v>43</v>
      </c>
      <c r="U2389" s="5" t="s">
        <v>4057</v>
      </c>
      <c r="V2389" s="5"/>
      <c r="W2389" s="5" t="s">
        <v>46</v>
      </c>
      <c r="X2389" s="5"/>
      <c r="Y2389" s="5"/>
      <c r="Z2389" s="5" t="str">
        <f>HYPERLINK("https://knigipp.ru/api/getInfo/image/ba24e7e4-c32e-11ed-a230-00155d82e902")</f>
        <v>https://knigipp.ru/api/getInfo/image/ba24e7e4-c32e-11ed-a230-00155d82e902</v>
      </c>
      <c r="AA2389" s="33">
        <v>10</v>
      </c>
      <c r="AB2389" s="5" t="s">
        <v>47</v>
      </c>
      <c r="AC2389" s="5" t="s">
        <v>140</v>
      </c>
      <c r="AD2389" s="5"/>
      <c r="AE2389" s="5" t="s">
        <v>49</v>
      </c>
      <c r="AF2389" s="5"/>
      <c r="AG2389" s="5"/>
      <c r="AH2389" s="5" t="s">
        <v>10564</v>
      </c>
    </row>
    <row r="2390" spans="2:34" ht="21" customHeight="1" outlineLevel="4" x14ac:dyDescent="0.2">
      <c r="B2390" s="42">
        <v>1882</v>
      </c>
      <c r="C2390" s="5" t="s">
        <v>10581</v>
      </c>
      <c r="D2390" s="5" t="s">
        <v>10582</v>
      </c>
      <c r="E2390" s="6" t="s">
        <v>10583</v>
      </c>
      <c r="F2390" s="10"/>
      <c r="G2390" s="11" t="s">
        <v>10562</v>
      </c>
      <c r="H2390" s="12">
        <v>24</v>
      </c>
      <c r="I2390" s="13" t="s">
        <v>41</v>
      </c>
      <c r="J2390" s="13"/>
      <c r="K2390" s="13"/>
      <c r="L2390" s="4">
        <v>2</v>
      </c>
      <c r="M2390" s="14">
        <f>299*(1-P3/100)</f>
        <v>299</v>
      </c>
      <c r="N2390" s="15"/>
      <c r="O2390" s="13">
        <f t="shared" si="106"/>
        <v>0</v>
      </c>
      <c r="P2390" s="22">
        <f>0.228*N2390</f>
        <v>0</v>
      </c>
      <c r="Q2390" s="23">
        <f>0.00053*N2390</f>
        <v>0</v>
      </c>
      <c r="R2390" s="24"/>
      <c r="S2390" s="25" t="s">
        <v>10584</v>
      </c>
      <c r="T2390" s="25" t="s">
        <v>43</v>
      </c>
      <c r="U2390" s="5" t="s">
        <v>4057</v>
      </c>
      <c r="V2390" s="5"/>
      <c r="W2390" s="5" t="s">
        <v>46</v>
      </c>
      <c r="X2390" s="5"/>
      <c r="Y2390" s="5"/>
      <c r="Z2390" s="5" t="str">
        <f>HYPERLINK("https://knigipp.ru/api/getInfo/image/db005f12-c32e-11ed-a230-00155d82e902")</f>
        <v>https://knigipp.ru/api/getInfo/image/db005f12-c32e-11ed-a230-00155d82e902</v>
      </c>
      <c r="AA2390" s="33">
        <v>10</v>
      </c>
      <c r="AB2390" s="5" t="s">
        <v>47</v>
      </c>
      <c r="AC2390" s="5" t="s">
        <v>140</v>
      </c>
      <c r="AD2390" s="5"/>
      <c r="AE2390" s="5" t="s">
        <v>49</v>
      </c>
      <c r="AF2390" s="5"/>
      <c r="AG2390" s="5"/>
      <c r="AH2390" s="5" t="s">
        <v>10564</v>
      </c>
    </row>
    <row r="2391" spans="2:34" ht="21" customHeight="1" outlineLevel="4" x14ac:dyDescent="0.2">
      <c r="B2391" s="42">
        <v>1883</v>
      </c>
      <c r="C2391" s="5" t="s">
        <v>10585</v>
      </c>
      <c r="D2391" s="5" t="s">
        <v>10586</v>
      </c>
      <c r="E2391" s="6" t="s">
        <v>10587</v>
      </c>
      <c r="F2391" s="10"/>
      <c r="G2391" s="11" t="s">
        <v>10562</v>
      </c>
      <c r="H2391" s="12">
        <v>24</v>
      </c>
      <c r="I2391" s="13" t="s">
        <v>41</v>
      </c>
      <c r="J2391" s="13"/>
      <c r="K2391" s="13"/>
      <c r="L2391" s="4">
        <v>2</v>
      </c>
      <c r="M2391" s="14">
        <f>299*(1-P3/100)</f>
        <v>299</v>
      </c>
      <c r="N2391" s="15"/>
      <c r="O2391" s="13">
        <f t="shared" si="106"/>
        <v>0</v>
      </c>
      <c r="P2391" s="22">
        <f>0.224*N2391</f>
        <v>0</v>
      </c>
      <c r="Q2391" s="23">
        <f>0.00126*N2391</f>
        <v>0</v>
      </c>
      <c r="R2391" s="24"/>
      <c r="S2391" s="25" t="s">
        <v>10588</v>
      </c>
      <c r="T2391" s="25" t="s">
        <v>43</v>
      </c>
      <c r="U2391" s="5" t="s">
        <v>4057</v>
      </c>
      <c r="V2391" s="5"/>
      <c r="W2391" s="5" t="s">
        <v>46</v>
      </c>
      <c r="X2391" s="5"/>
      <c r="Y2391" s="5"/>
      <c r="Z2391" s="5" t="str">
        <f>HYPERLINK("https://knigipp.ru/api/getInfo/image/fdf6aad9-c32e-11ed-a230-00155d82e902")</f>
        <v>https://knigipp.ru/api/getInfo/image/fdf6aad9-c32e-11ed-a230-00155d82e902</v>
      </c>
      <c r="AA2391" s="33">
        <v>10</v>
      </c>
      <c r="AB2391" s="5" t="s">
        <v>47</v>
      </c>
      <c r="AC2391" s="5" t="s">
        <v>140</v>
      </c>
      <c r="AD2391" s="5"/>
      <c r="AE2391" s="5" t="s">
        <v>49</v>
      </c>
      <c r="AF2391" s="5"/>
      <c r="AG2391" s="5"/>
      <c r="AH2391" s="5" t="s">
        <v>10564</v>
      </c>
    </row>
    <row r="2392" spans="2:34" ht="22.95" customHeight="1" outlineLevel="2" x14ac:dyDescent="0.2">
      <c r="B2392" s="73" t="s">
        <v>10589</v>
      </c>
      <c r="C2392" s="73"/>
      <c r="D2392" s="73"/>
    </row>
    <row r="2393" spans="2:34" ht="22.95" customHeight="1" outlineLevel="3" x14ac:dyDescent="0.2">
      <c r="B2393" s="74" t="s">
        <v>10590</v>
      </c>
      <c r="C2393" s="74"/>
      <c r="D2393" s="74"/>
    </row>
    <row r="2394" spans="2:34" ht="21" customHeight="1" outlineLevel="4" x14ac:dyDescent="0.2">
      <c r="B2394" s="42">
        <v>1884</v>
      </c>
      <c r="C2394" s="5" t="s">
        <v>10591</v>
      </c>
      <c r="D2394" s="5" t="s">
        <v>10592</v>
      </c>
      <c r="E2394" s="6" t="s">
        <v>10593</v>
      </c>
      <c r="F2394" s="10"/>
      <c r="G2394" s="11" t="s">
        <v>10594</v>
      </c>
      <c r="H2394" s="12">
        <v>22</v>
      </c>
      <c r="I2394" s="13" t="s">
        <v>41</v>
      </c>
      <c r="J2394" s="13"/>
      <c r="K2394" s="13"/>
      <c r="L2394" s="4">
        <v>2</v>
      </c>
      <c r="M2394" s="14">
        <f>297*(1-P3/100)</f>
        <v>297</v>
      </c>
      <c r="N2394" s="15"/>
      <c r="O2394" s="13">
        <f>M2394*N2394</f>
        <v>0</v>
      </c>
      <c r="P2394" s="22">
        <f>0.088*N2394</f>
        <v>0</v>
      </c>
      <c r="Q2394" s="23">
        <f>0.00099*N2394</f>
        <v>0</v>
      </c>
      <c r="R2394" s="24"/>
      <c r="S2394" s="25" t="s">
        <v>10595</v>
      </c>
      <c r="T2394" s="25" t="s">
        <v>43</v>
      </c>
      <c r="U2394" s="5" t="s">
        <v>128</v>
      </c>
      <c r="V2394" s="5" t="s">
        <v>10596</v>
      </c>
      <c r="W2394" s="5" t="s">
        <v>46</v>
      </c>
      <c r="X2394" s="5"/>
      <c r="Y2394" s="5"/>
      <c r="Z2394" s="5" t="str">
        <f>HYPERLINK("https://knigipp.ru/api/getInfo/image/805b417b-7316-11ee-a248-00155d82e902")</f>
        <v>https://knigipp.ru/api/getInfo/image/805b417b-7316-11ee-a248-00155d82e902</v>
      </c>
      <c r="AA2394" s="33">
        <v>10</v>
      </c>
      <c r="AB2394" s="5" t="s">
        <v>47</v>
      </c>
      <c r="AC2394" s="5" t="s">
        <v>140</v>
      </c>
      <c r="AD2394" s="5"/>
      <c r="AE2394" s="5" t="s">
        <v>49</v>
      </c>
      <c r="AF2394" s="5"/>
      <c r="AG2394" s="5" t="s">
        <v>10597</v>
      </c>
      <c r="AH2394" s="5" t="s">
        <v>10598</v>
      </c>
    </row>
    <row r="2395" spans="2:34" ht="21" customHeight="1" outlineLevel="4" x14ac:dyDescent="0.2">
      <c r="B2395" s="42">
        <v>1885</v>
      </c>
      <c r="C2395" s="5" t="s">
        <v>10599</v>
      </c>
      <c r="D2395" s="5" t="s">
        <v>10600</v>
      </c>
      <c r="E2395" s="6" t="s">
        <v>10601</v>
      </c>
      <c r="F2395" s="10"/>
      <c r="G2395" s="11" t="s">
        <v>10594</v>
      </c>
      <c r="H2395" s="12">
        <v>20</v>
      </c>
      <c r="I2395" s="13" t="s">
        <v>41</v>
      </c>
      <c r="J2395" s="13"/>
      <c r="K2395" s="13"/>
      <c r="L2395" s="4">
        <v>2</v>
      </c>
      <c r="M2395" s="14">
        <f>297*(1-P3/100)</f>
        <v>297</v>
      </c>
      <c r="N2395" s="15"/>
      <c r="O2395" s="13">
        <f>M2395*N2395</f>
        <v>0</v>
      </c>
      <c r="P2395" s="22">
        <f>0.132*N2395</f>
        <v>0</v>
      </c>
      <c r="Q2395" s="23">
        <f>0.00084*N2395</f>
        <v>0</v>
      </c>
      <c r="R2395" s="24"/>
      <c r="S2395" s="25" t="s">
        <v>10602</v>
      </c>
      <c r="T2395" s="25" t="s">
        <v>43</v>
      </c>
      <c r="U2395" s="5"/>
      <c r="V2395" s="5"/>
      <c r="W2395" s="5" t="s">
        <v>46</v>
      </c>
      <c r="X2395" s="5"/>
      <c r="Y2395" s="5"/>
      <c r="Z2395" s="5" t="str">
        <f>HYPERLINK("https://knigipp.ru/api/getInfo/image/4e10500e-4434-11ea-a240-ac1f6b442184")</f>
        <v>https://knigipp.ru/api/getInfo/image/4e10500e-4434-11ea-a240-ac1f6b442184</v>
      </c>
      <c r="AA2395" s="33">
        <v>10</v>
      </c>
      <c r="AB2395" s="5" t="s">
        <v>47</v>
      </c>
      <c r="AC2395" s="5" t="s">
        <v>140</v>
      </c>
      <c r="AD2395" s="5"/>
      <c r="AE2395" s="5" t="s">
        <v>49</v>
      </c>
      <c r="AF2395" s="5"/>
      <c r="AG2395" s="5" t="s">
        <v>10603</v>
      </c>
      <c r="AH2395" s="5" t="s">
        <v>10604</v>
      </c>
    </row>
    <row r="2396" spans="2:34" ht="21" customHeight="1" outlineLevel="4" x14ac:dyDescent="0.2">
      <c r="B2396" s="42">
        <v>1886</v>
      </c>
      <c r="C2396" s="5" t="s">
        <v>10605</v>
      </c>
      <c r="D2396" s="5" t="s">
        <v>10606</v>
      </c>
      <c r="E2396" s="6" t="s">
        <v>10607</v>
      </c>
      <c r="F2396" s="10"/>
      <c r="G2396" s="11" t="s">
        <v>10594</v>
      </c>
      <c r="H2396" s="12">
        <v>20</v>
      </c>
      <c r="I2396" s="13" t="s">
        <v>41</v>
      </c>
      <c r="J2396" s="13"/>
      <c r="K2396" s="13"/>
      <c r="L2396" s="4">
        <v>2</v>
      </c>
      <c r="M2396" s="14">
        <f>297*(1-P3/100)</f>
        <v>297</v>
      </c>
      <c r="N2396" s="15"/>
      <c r="O2396" s="13">
        <f>M2396*N2396</f>
        <v>0</v>
      </c>
      <c r="P2396" s="22">
        <f>0.132*N2396</f>
        <v>0</v>
      </c>
      <c r="Q2396" s="23">
        <f>0.00084*N2396</f>
        <v>0</v>
      </c>
      <c r="R2396" s="24"/>
      <c r="S2396" s="25" t="s">
        <v>10608</v>
      </c>
      <c r="T2396" s="25" t="s">
        <v>43</v>
      </c>
      <c r="U2396" s="5"/>
      <c r="V2396" s="5"/>
      <c r="W2396" s="5" t="s">
        <v>46</v>
      </c>
      <c r="X2396" s="5"/>
      <c r="Y2396" s="5"/>
      <c r="Z2396" s="5" t="str">
        <f>HYPERLINK("https://knigipp.ru/api/getInfo/image/673a771a-4434-11ea-a240-ac1f6b442184")</f>
        <v>https://knigipp.ru/api/getInfo/image/673a771a-4434-11ea-a240-ac1f6b442184</v>
      </c>
      <c r="AA2396" s="33">
        <v>10</v>
      </c>
      <c r="AB2396" s="5"/>
      <c r="AC2396" s="5" t="s">
        <v>140</v>
      </c>
      <c r="AD2396" s="5"/>
      <c r="AE2396" s="5" t="s">
        <v>49</v>
      </c>
      <c r="AF2396" s="5"/>
      <c r="AG2396" s="5" t="s">
        <v>10603</v>
      </c>
      <c r="AH2396" s="5" t="s">
        <v>10604</v>
      </c>
    </row>
    <row r="2397" spans="2:34" ht="22.95" customHeight="1" outlineLevel="3" x14ac:dyDescent="0.2">
      <c r="B2397" s="74" t="s">
        <v>10609</v>
      </c>
      <c r="C2397" s="74"/>
      <c r="D2397" s="74"/>
    </row>
    <row r="2398" spans="2:34" ht="21" customHeight="1" outlineLevel="4" x14ac:dyDescent="0.2">
      <c r="B2398" s="42">
        <v>1887</v>
      </c>
      <c r="C2398" s="5" t="s">
        <v>10610</v>
      </c>
      <c r="D2398" s="5" t="s">
        <v>10611</v>
      </c>
      <c r="E2398" s="6" t="s">
        <v>10612</v>
      </c>
      <c r="F2398" s="10"/>
      <c r="G2398" s="11" t="s">
        <v>10613</v>
      </c>
      <c r="H2398" s="12">
        <v>19</v>
      </c>
      <c r="I2398" s="13" t="s">
        <v>41</v>
      </c>
      <c r="J2398" s="13"/>
      <c r="K2398" s="13"/>
      <c r="L2398" s="4">
        <v>2</v>
      </c>
      <c r="M2398" s="14">
        <f>297*(1-P3/100)</f>
        <v>297</v>
      </c>
      <c r="N2398" s="15"/>
      <c r="O2398" s="13">
        <f t="shared" ref="O2398:O2404" si="107">M2398*N2398</f>
        <v>0</v>
      </c>
      <c r="P2398" s="22">
        <f>0.101*N2398</f>
        <v>0</v>
      </c>
      <c r="Q2398" s="23">
        <f>0.00017*N2398</f>
        <v>0</v>
      </c>
      <c r="R2398" s="24"/>
      <c r="S2398" s="25" t="s">
        <v>10614</v>
      </c>
      <c r="T2398" s="25" t="s">
        <v>43</v>
      </c>
      <c r="U2398" s="5" t="s">
        <v>10268</v>
      </c>
      <c r="V2398" s="5"/>
      <c r="W2398" s="5" t="s">
        <v>46</v>
      </c>
      <c r="X2398" s="5"/>
      <c r="Y2398" s="5"/>
      <c r="Z2398" s="5" t="str">
        <f>HYPERLINK("https://knigipp.ru/api/getInfo/image/5c628042-9780-11ef-a267-00155d82e908")</f>
        <v>https://knigipp.ru/api/getInfo/image/5c628042-9780-11ef-a267-00155d82e908</v>
      </c>
      <c r="AA2398" s="33">
        <v>10</v>
      </c>
      <c r="AB2398" s="5" t="s">
        <v>47</v>
      </c>
      <c r="AC2398" s="5" t="s">
        <v>140</v>
      </c>
      <c r="AD2398" s="5"/>
      <c r="AE2398" s="5" t="s">
        <v>49</v>
      </c>
      <c r="AF2398" s="5"/>
      <c r="AG2398" s="5"/>
      <c r="AH2398" s="5" t="s">
        <v>10615</v>
      </c>
    </row>
    <row r="2399" spans="2:34" ht="21" customHeight="1" outlineLevel="4" x14ac:dyDescent="0.2">
      <c r="B2399" s="42">
        <v>1888</v>
      </c>
      <c r="C2399" s="5" t="s">
        <v>10616</v>
      </c>
      <c r="D2399" s="5" t="s">
        <v>10617</v>
      </c>
      <c r="E2399" s="6" t="s">
        <v>10618</v>
      </c>
      <c r="F2399" s="10"/>
      <c r="G2399" s="11" t="s">
        <v>10613</v>
      </c>
      <c r="H2399" s="12">
        <v>15</v>
      </c>
      <c r="I2399" s="13" t="s">
        <v>41</v>
      </c>
      <c r="J2399" s="13"/>
      <c r="K2399" s="13"/>
      <c r="L2399" s="4">
        <v>2</v>
      </c>
      <c r="M2399" s="14">
        <f>277.2*(1-P3/100)</f>
        <v>277.2</v>
      </c>
      <c r="N2399" s="15"/>
      <c r="O2399" s="13">
        <f t="shared" si="107"/>
        <v>0</v>
      </c>
      <c r="P2399" s="22">
        <f>0.109*N2399</f>
        <v>0</v>
      </c>
      <c r="Q2399" s="22">
        <f>0.002*N2399</f>
        <v>0</v>
      </c>
      <c r="R2399" s="24"/>
      <c r="S2399" s="25" t="s">
        <v>10619</v>
      </c>
      <c r="T2399" s="25" t="s">
        <v>43</v>
      </c>
      <c r="U2399" s="5" t="s">
        <v>157</v>
      </c>
      <c r="V2399" s="5"/>
      <c r="W2399" s="5" t="s">
        <v>46</v>
      </c>
      <c r="X2399" s="5"/>
      <c r="Y2399" s="5"/>
      <c r="Z2399" s="5" t="str">
        <f>HYPERLINK("https://knigipp.ru/api/getInfo/image/33c9376c-3bec-11ec-a20f-ac1f6b442185")</f>
        <v>https://knigipp.ru/api/getInfo/image/33c9376c-3bec-11ec-a20f-ac1f6b442185</v>
      </c>
      <c r="AA2399" s="33">
        <v>10</v>
      </c>
      <c r="AB2399" s="5"/>
      <c r="AC2399" s="5" t="s">
        <v>140</v>
      </c>
      <c r="AD2399" s="5"/>
      <c r="AE2399" s="5" t="s">
        <v>49</v>
      </c>
      <c r="AF2399" s="5"/>
      <c r="AG2399" s="5"/>
      <c r="AH2399" s="5" t="s">
        <v>10620</v>
      </c>
    </row>
    <row r="2400" spans="2:34" ht="21" customHeight="1" outlineLevel="4" x14ac:dyDescent="0.2">
      <c r="B2400" s="42">
        <v>1889</v>
      </c>
      <c r="C2400" s="5" t="s">
        <v>10616</v>
      </c>
      <c r="D2400" s="5" t="s">
        <v>10617</v>
      </c>
      <c r="E2400" s="6" t="s">
        <v>10618</v>
      </c>
      <c r="F2400" s="10"/>
      <c r="G2400" s="11" t="s">
        <v>10613</v>
      </c>
      <c r="H2400" s="12">
        <v>19</v>
      </c>
      <c r="I2400" s="13" t="s">
        <v>41</v>
      </c>
      <c r="J2400" s="13"/>
      <c r="K2400" s="13"/>
      <c r="L2400" s="4">
        <v>2</v>
      </c>
      <c r="M2400" s="14">
        <f>277.2*(1-P3/100)</f>
        <v>277.2</v>
      </c>
      <c r="N2400" s="15"/>
      <c r="O2400" s="13">
        <f t="shared" si="107"/>
        <v>0</v>
      </c>
      <c r="P2400" s="22">
        <f>0.109*N2400</f>
        <v>0</v>
      </c>
      <c r="Q2400" s="22">
        <f>0.002*N2400</f>
        <v>0</v>
      </c>
      <c r="R2400" s="24"/>
      <c r="S2400" s="25" t="s">
        <v>10619</v>
      </c>
      <c r="T2400" s="25" t="s">
        <v>43</v>
      </c>
      <c r="U2400" s="5" t="s">
        <v>157</v>
      </c>
      <c r="V2400" s="5"/>
      <c r="W2400" s="5" t="s">
        <v>46</v>
      </c>
      <c r="X2400" s="5"/>
      <c r="Y2400" s="5"/>
      <c r="Z2400" s="5" t="str">
        <f>HYPERLINK("https://knigipp.ru/api/getInfo/image/33c9376c-3bec-11ec-a20f-ac1f6b442185")</f>
        <v>https://knigipp.ru/api/getInfo/image/33c9376c-3bec-11ec-a20f-ac1f6b442185</v>
      </c>
      <c r="AA2400" s="33">
        <v>10</v>
      </c>
      <c r="AB2400" s="5"/>
      <c r="AC2400" s="5" t="s">
        <v>140</v>
      </c>
      <c r="AD2400" s="5"/>
      <c r="AE2400" s="5" t="s">
        <v>49</v>
      </c>
      <c r="AF2400" s="5"/>
      <c r="AG2400" s="5"/>
      <c r="AH2400" s="5" t="s">
        <v>10620</v>
      </c>
    </row>
    <row r="2401" spans="2:34" ht="21" customHeight="1" outlineLevel="4" x14ac:dyDescent="0.2">
      <c r="B2401" s="42">
        <v>1890</v>
      </c>
      <c r="C2401" s="5" t="s">
        <v>10621</v>
      </c>
      <c r="D2401" s="5" t="s">
        <v>10622</v>
      </c>
      <c r="E2401" s="6" t="s">
        <v>10623</v>
      </c>
      <c r="F2401" s="10"/>
      <c r="G2401" s="11"/>
      <c r="H2401" s="12">
        <v>15</v>
      </c>
      <c r="I2401" s="13" t="s">
        <v>41</v>
      </c>
      <c r="J2401" s="13"/>
      <c r="K2401" s="13"/>
      <c r="L2401" s="4">
        <v>2</v>
      </c>
      <c r="M2401" s="14">
        <f>297*(1-P3/100)</f>
        <v>297</v>
      </c>
      <c r="N2401" s="15"/>
      <c r="O2401" s="13">
        <f t="shared" si="107"/>
        <v>0</v>
      </c>
      <c r="P2401" s="22">
        <f>0.113*N2401</f>
        <v>0</v>
      </c>
      <c r="Q2401" s="30">
        <f>0.0004*N2401</f>
        <v>0</v>
      </c>
      <c r="R2401" s="24"/>
      <c r="S2401" s="25" t="s">
        <v>10624</v>
      </c>
      <c r="T2401" s="25" t="s">
        <v>43</v>
      </c>
      <c r="U2401" s="5" t="s">
        <v>10268</v>
      </c>
      <c r="V2401" s="5"/>
      <c r="W2401" s="5" t="s">
        <v>46</v>
      </c>
      <c r="X2401" s="5"/>
      <c r="Y2401" s="5"/>
      <c r="Z2401" s="5" t="str">
        <f>HYPERLINK("https://knigipp.ru/api/getInfo/image/7bad2964-9780-11ef-a267-00155d82e908")</f>
        <v>https://knigipp.ru/api/getInfo/image/7bad2964-9780-11ef-a267-00155d82e908</v>
      </c>
      <c r="AA2401" s="33">
        <v>10</v>
      </c>
      <c r="AB2401" s="5" t="s">
        <v>47</v>
      </c>
      <c r="AC2401" s="5" t="s">
        <v>140</v>
      </c>
      <c r="AD2401" s="5"/>
      <c r="AE2401" s="5" t="s">
        <v>49</v>
      </c>
      <c r="AF2401" s="5"/>
      <c r="AG2401" s="5"/>
      <c r="AH2401" s="5" t="s">
        <v>10615</v>
      </c>
    </row>
    <row r="2402" spans="2:34" ht="21" customHeight="1" outlineLevel="4" x14ac:dyDescent="0.2">
      <c r="B2402" s="42">
        <v>1891</v>
      </c>
      <c r="C2402" s="5" t="s">
        <v>10621</v>
      </c>
      <c r="D2402" s="5" t="s">
        <v>10622</v>
      </c>
      <c r="E2402" s="6" t="s">
        <v>10623</v>
      </c>
      <c r="F2402" s="10"/>
      <c r="G2402" s="11"/>
      <c r="H2402" s="12">
        <v>19</v>
      </c>
      <c r="I2402" s="13" t="s">
        <v>41</v>
      </c>
      <c r="J2402" s="13"/>
      <c r="K2402" s="13"/>
      <c r="L2402" s="4">
        <v>2</v>
      </c>
      <c r="M2402" s="14">
        <f>297*(1-P3/100)</f>
        <v>297</v>
      </c>
      <c r="N2402" s="15"/>
      <c r="O2402" s="13">
        <f t="shared" si="107"/>
        <v>0</v>
      </c>
      <c r="P2402" s="22">
        <f>0.113*N2402</f>
        <v>0</v>
      </c>
      <c r="Q2402" s="30">
        <f>0.0004*N2402</f>
        <v>0</v>
      </c>
      <c r="R2402" s="24"/>
      <c r="S2402" s="25" t="s">
        <v>10624</v>
      </c>
      <c r="T2402" s="25" t="s">
        <v>43</v>
      </c>
      <c r="U2402" s="5" t="s">
        <v>10268</v>
      </c>
      <c r="V2402" s="5"/>
      <c r="W2402" s="5" t="s">
        <v>46</v>
      </c>
      <c r="X2402" s="5"/>
      <c r="Y2402" s="5"/>
      <c r="Z2402" s="5" t="str">
        <f>HYPERLINK("https://knigipp.ru/api/getInfo/image/7bad2964-9780-11ef-a267-00155d82e908")</f>
        <v>https://knigipp.ru/api/getInfo/image/7bad2964-9780-11ef-a267-00155d82e908</v>
      </c>
      <c r="AA2402" s="33">
        <v>10</v>
      </c>
      <c r="AB2402" s="5" t="s">
        <v>47</v>
      </c>
      <c r="AC2402" s="5" t="s">
        <v>140</v>
      </c>
      <c r="AD2402" s="5"/>
      <c r="AE2402" s="5" t="s">
        <v>49</v>
      </c>
      <c r="AF2402" s="5"/>
      <c r="AG2402" s="5"/>
      <c r="AH2402" s="5" t="s">
        <v>10615</v>
      </c>
    </row>
    <row r="2403" spans="2:34" ht="21" customHeight="1" outlineLevel="4" x14ac:dyDescent="0.2">
      <c r="B2403" s="42">
        <v>1892</v>
      </c>
      <c r="C2403" s="5" t="s">
        <v>10625</v>
      </c>
      <c r="D2403" s="5" t="s">
        <v>10626</v>
      </c>
      <c r="E2403" s="6" t="s">
        <v>10627</v>
      </c>
      <c r="F2403" s="10"/>
      <c r="G2403" s="11" t="s">
        <v>10613</v>
      </c>
      <c r="H2403" s="12">
        <v>15</v>
      </c>
      <c r="I2403" s="13" t="s">
        <v>41</v>
      </c>
      <c r="J2403" s="13"/>
      <c r="K2403" s="13"/>
      <c r="L2403" s="4">
        <v>2</v>
      </c>
      <c r="M2403" s="14">
        <f>277.2*(1-P3/100)</f>
        <v>277.2</v>
      </c>
      <c r="N2403" s="15"/>
      <c r="O2403" s="13">
        <f t="shared" si="107"/>
        <v>0</v>
      </c>
      <c r="P2403" s="22">
        <f>0.103*N2403</f>
        <v>0</v>
      </c>
      <c r="Q2403" s="23">
        <f>0.00211*N2403</f>
        <v>0</v>
      </c>
      <c r="R2403" s="24"/>
      <c r="S2403" s="25" t="s">
        <v>10628</v>
      </c>
      <c r="T2403" s="25" t="s">
        <v>43</v>
      </c>
      <c r="U2403" s="5" t="s">
        <v>157</v>
      </c>
      <c r="V2403" s="5"/>
      <c r="W2403" s="5" t="s">
        <v>46</v>
      </c>
      <c r="X2403" s="5"/>
      <c r="Y2403" s="5"/>
      <c r="Z2403" s="5" t="str">
        <f>HYPERLINK("https://knigipp.ru/api/getInfo/image/aea01cab-3bec-11ec-a20f-ac1f6b442185")</f>
        <v>https://knigipp.ru/api/getInfo/image/aea01cab-3bec-11ec-a20f-ac1f6b442185</v>
      </c>
      <c r="AA2403" s="33">
        <v>10</v>
      </c>
      <c r="AB2403" s="5"/>
      <c r="AC2403" s="5" t="s">
        <v>140</v>
      </c>
      <c r="AD2403" s="5"/>
      <c r="AE2403" s="5" t="s">
        <v>49</v>
      </c>
      <c r="AF2403" s="5"/>
      <c r="AG2403" s="5"/>
      <c r="AH2403" s="5" t="s">
        <v>10629</v>
      </c>
    </row>
    <row r="2404" spans="2:34" ht="21" customHeight="1" outlineLevel="4" x14ac:dyDescent="0.2">
      <c r="B2404" s="42">
        <v>1893</v>
      </c>
      <c r="C2404" s="5" t="s">
        <v>10625</v>
      </c>
      <c r="D2404" s="5" t="s">
        <v>10626</v>
      </c>
      <c r="E2404" s="6" t="s">
        <v>10627</v>
      </c>
      <c r="F2404" s="10"/>
      <c r="G2404" s="11" t="s">
        <v>10613</v>
      </c>
      <c r="H2404" s="12">
        <v>19</v>
      </c>
      <c r="I2404" s="13" t="s">
        <v>41</v>
      </c>
      <c r="J2404" s="13"/>
      <c r="K2404" s="13"/>
      <c r="L2404" s="4">
        <v>2</v>
      </c>
      <c r="M2404" s="14">
        <f>277.2*(1-P3/100)</f>
        <v>277.2</v>
      </c>
      <c r="N2404" s="15"/>
      <c r="O2404" s="13">
        <f t="shared" si="107"/>
        <v>0</v>
      </c>
      <c r="P2404" s="22">
        <f>0.103*N2404</f>
        <v>0</v>
      </c>
      <c r="Q2404" s="23">
        <f>0.00211*N2404</f>
        <v>0</v>
      </c>
      <c r="R2404" s="24"/>
      <c r="S2404" s="25" t="s">
        <v>10628</v>
      </c>
      <c r="T2404" s="25" t="s">
        <v>43</v>
      </c>
      <c r="U2404" s="5" t="s">
        <v>157</v>
      </c>
      <c r="V2404" s="5"/>
      <c r="W2404" s="5" t="s">
        <v>46</v>
      </c>
      <c r="X2404" s="5"/>
      <c r="Y2404" s="5"/>
      <c r="Z2404" s="5" t="str">
        <f>HYPERLINK("https://knigipp.ru/api/getInfo/image/aea01cab-3bec-11ec-a20f-ac1f6b442185")</f>
        <v>https://knigipp.ru/api/getInfo/image/aea01cab-3bec-11ec-a20f-ac1f6b442185</v>
      </c>
      <c r="AA2404" s="33">
        <v>10</v>
      </c>
      <c r="AB2404" s="5"/>
      <c r="AC2404" s="5" t="s">
        <v>140</v>
      </c>
      <c r="AD2404" s="5"/>
      <c r="AE2404" s="5" t="s">
        <v>49</v>
      </c>
      <c r="AF2404" s="5"/>
      <c r="AG2404" s="5"/>
      <c r="AH2404" s="5" t="s">
        <v>10629</v>
      </c>
    </row>
    <row r="2405" spans="2:34" ht="22.95" customHeight="1" outlineLevel="2" x14ac:dyDescent="0.2">
      <c r="B2405" s="73" t="s">
        <v>10630</v>
      </c>
      <c r="C2405" s="73"/>
      <c r="D2405" s="73"/>
    </row>
    <row r="2406" spans="2:34" ht="22.95" customHeight="1" outlineLevel="3" x14ac:dyDescent="0.2">
      <c r="B2406" s="74" t="s">
        <v>10631</v>
      </c>
      <c r="C2406" s="74"/>
      <c r="D2406" s="74"/>
    </row>
    <row r="2407" spans="2:34" ht="21" customHeight="1" outlineLevel="4" x14ac:dyDescent="0.2">
      <c r="B2407" s="42">
        <v>1894</v>
      </c>
      <c r="C2407" s="5" t="s">
        <v>10632</v>
      </c>
      <c r="D2407" s="5" t="s">
        <v>10633</v>
      </c>
      <c r="E2407" s="6" t="s">
        <v>10634</v>
      </c>
      <c r="F2407" s="10"/>
      <c r="G2407" s="11" t="s">
        <v>10635</v>
      </c>
      <c r="H2407" s="12">
        <v>40</v>
      </c>
      <c r="I2407" s="13" t="s">
        <v>41</v>
      </c>
      <c r="J2407" s="13"/>
      <c r="K2407" s="13"/>
      <c r="L2407" s="4">
        <v>3</v>
      </c>
      <c r="M2407" s="14">
        <f>297*(1-P3/100)</f>
        <v>297</v>
      </c>
      <c r="N2407" s="15"/>
      <c r="O2407" s="13">
        <f>M2407*N2407</f>
        <v>0</v>
      </c>
      <c r="P2407" s="32">
        <f>0.05*N2407</f>
        <v>0</v>
      </c>
      <c r="Q2407" s="23">
        <f>0.00058*N2407</f>
        <v>0</v>
      </c>
      <c r="R2407" s="24"/>
      <c r="S2407" s="25" t="s">
        <v>10636</v>
      </c>
      <c r="T2407" s="25" t="s">
        <v>43</v>
      </c>
      <c r="U2407" s="5" t="s">
        <v>7871</v>
      </c>
      <c r="V2407" s="5" t="s">
        <v>10637</v>
      </c>
      <c r="W2407" s="5" t="s">
        <v>46</v>
      </c>
      <c r="X2407" s="5"/>
      <c r="Y2407" s="5"/>
      <c r="Z2407" s="5" t="str">
        <f>HYPERLINK("https://knigipp.ru/api/getInfo/image/769d550c-8f89-11ee-a250-00155d82e908")</f>
        <v>https://knigipp.ru/api/getInfo/image/769d550c-8f89-11ee-a250-00155d82e908</v>
      </c>
      <c r="AA2407" s="33">
        <v>14</v>
      </c>
      <c r="AB2407" s="5"/>
      <c r="AC2407" s="5" t="s">
        <v>140</v>
      </c>
      <c r="AD2407" s="5"/>
      <c r="AE2407" s="5" t="s">
        <v>49</v>
      </c>
      <c r="AF2407" s="5"/>
      <c r="AG2407" s="5"/>
      <c r="AH2407" s="5" t="s">
        <v>10638</v>
      </c>
    </row>
    <row r="2408" spans="2:34" ht="21" customHeight="1" outlineLevel="4" x14ac:dyDescent="0.2">
      <c r="B2408" s="42">
        <v>1895</v>
      </c>
      <c r="C2408" s="5" t="s">
        <v>10639</v>
      </c>
      <c r="D2408" s="5" t="s">
        <v>10640</v>
      </c>
      <c r="E2408" s="6" t="s">
        <v>10641</v>
      </c>
      <c r="F2408" s="10"/>
      <c r="G2408" s="11" t="s">
        <v>10635</v>
      </c>
      <c r="H2408" s="12">
        <v>40</v>
      </c>
      <c r="I2408" s="13" t="s">
        <v>41</v>
      </c>
      <c r="J2408" s="13"/>
      <c r="K2408" s="13"/>
      <c r="L2408" s="4">
        <v>3</v>
      </c>
      <c r="M2408" s="14">
        <f>297*(1-P3/100)</f>
        <v>297</v>
      </c>
      <c r="N2408" s="15"/>
      <c r="O2408" s="13">
        <f>M2408*N2408</f>
        <v>0</v>
      </c>
      <c r="P2408" s="32">
        <f>0.05*N2408</f>
        <v>0</v>
      </c>
      <c r="Q2408" s="23">
        <f>0.00043*N2408</f>
        <v>0</v>
      </c>
      <c r="R2408" s="24"/>
      <c r="S2408" s="25" t="s">
        <v>10642</v>
      </c>
      <c r="T2408" s="25" t="s">
        <v>43</v>
      </c>
      <c r="U2408" s="5"/>
      <c r="V2408" s="5" t="s">
        <v>10643</v>
      </c>
      <c r="W2408" s="5" t="s">
        <v>46</v>
      </c>
      <c r="X2408" s="5"/>
      <c r="Y2408" s="5"/>
      <c r="Z2408" s="5" t="str">
        <f>HYPERLINK("https://knigipp.ru/api/getInfo/image/05f63811-a1a8-11ea-a248-ac1f6b442184")</f>
        <v>https://knigipp.ru/api/getInfo/image/05f63811-a1a8-11ea-a248-ac1f6b442184</v>
      </c>
      <c r="AA2408" s="33">
        <v>14</v>
      </c>
      <c r="AB2408" s="5"/>
      <c r="AC2408" s="5" t="s">
        <v>140</v>
      </c>
      <c r="AD2408" s="5"/>
      <c r="AE2408" s="5" t="s">
        <v>49</v>
      </c>
      <c r="AF2408" s="5"/>
      <c r="AG2408" s="5"/>
      <c r="AH2408" s="5" t="s">
        <v>10638</v>
      </c>
    </row>
    <row r="2409" spans="2:34" ht="21" customHeight="1" outlineLevel="4" x14ac:dyDescent="0.2">
      <c r="B2409" s="42">
        <v>1896</v>
      </c>
      <c r="C2409" s="5" t="s">
        <v>10644</v>
      </c>
      <c r="D2409" s="5" t="s">
        <v>10645</v>
      </c>
      <c r="E2409" s="6" t="s">
        <v>10646</v>
      </c>
      <c r="F2409" s="10"/>
      <c r="G2409" s="11" t="s">
        <v>10635</v>
      </c>
      <c r="H2409" s="12">
        <v>40</v>
      </c>
      <c r="I2409" s="13" t="s">
        <v>41</v>
      </c>
      <c r="J2409" s="13"/>
      <c r="K2409" s="13"/>
      <c r="L2409" s="4">
        <v>3</v>
      </c>
      <c r="M2409" s="14">
        <f>297*(1-P3/100)</f>
        <v>297</v>
      </c>
      <c r="N2409" s="15"/>
      <c r="O2409" s="13">
        <f>M2409*N2409</f>
        <v>0</v>
      </c>
      <c r="P2409" s="22">
        <f>0.055*N2409</f>
        <v>0</v>
      </c>
      <c r="Q2409" s="23">
        <f>0.00053*N2409</f>
        <v>0</v>
      </c>
      <c r="R2409" s="24"/>
      <c r="S2409" s="25" t="s">
        <v>10647</v>
      </c>
      <c r="T2409" s="25" t="s">
        <v>43</v>
      </c>
      <c r="U2409" s="5"/>
      <c r="V2409" s="5"/>
      <c r="W2409" s="5" t="s">
        <v>46</v>
      </c>
      <c r="X2409" s="5"/>
      <c r="Y2409" s="5"/>
      <c r="Z2409" s="5" t="str">
        <f>HYPERLINK("https://knigipp.ru/api/getInfo/image/48d41256-a1a8-11ea-a248-ac1f6b442184")</f>
        <v>https://knigipp.ru/api/getInfo/image/48d41256-a1a8-11ea-a248-ac1f6b442184</v>
      </c>
      <c r="AA2409" s="33">
        <v>14</v>
      </c>
      <c r="AB2409" s="5"/>
      <c r="AC2409" s="5" t="s">
        <v>140</v>
      </c>
      <c r="AD2409" s="5"/>
      <c r="AE2409" s="5" t="s">
        <v>49</v>
      </c>
      <c r="AF2409" s="5"/>
      <c r="AG2409" s="5"/>
      <c r="AH2409" s="5" t="s">
        <v>10638</v>
      </c>
    </row>
    <row r="2410" spans="2:34" ht="21" customHeight="1" outlineLevel="4" x14ac:dyDescent="0.2">
      <c r="B2410" s="42">
        <v>1897</v>
      </c>
      <c r="C2410" s="5" t="s">
        <v>10648</v>
      </c>
      <c r="D2410" s="5" t="s">
        <v>10649</v>
      </c>
      <c r="E2410" s="6" t="s">
        <v>10650</v>
      </c>
      <c r="F2410" s="10"/>
      <c r="G2410" s="11" t="s">
        <v>10635</v>
      </c>
      <c r="H2410" s="12">
        <v>40</v>
      </c>
      <c r="I2410" s="13" t="s">
        <v>41</v>
      </c>
      <c r="J2410" s="13"/>
      <c r="K2410" s="13"/>
      <c r="L2410" s="4">
        <v>3</v>
      </c>
      <c r="M2410" s="14">
        <f>297*(1-P3/100)</f>
        <v>297</v>
      </c>
      <c r="N2410" s="15"/>
      <c r="O2410" s="13">
        <f>M2410*N2410</f>
        <v>0</v>
      </c>
      <c r="P2410" s="22">
        <f>0.051*N2410</f>
        <v>0</v>
      </c>
      <c r="Q2410" s="23">
        <f>0.00043*N2410</f>
        <v>0</v>
      </c>
      <c r="R2410" s="24"/>
      <c r="S2410" s="25" t="s">
        <v>10651</v>
      </c>
      <c r="T2410" s="25" t="s">
        <v>43</v>
      </c>
      <c r="U2410" s="5" t="s">
        <v>7871</v>
      </c>
      <c r="V2410" s="5" t="s">
        <v>10652</v>
      </c>
      <c r="W2410" s="5" t="s">
        <v>46</v>
      </c>
      <c r="X2410" s="5"/>
      <c r="Y2410" s="5"/>
      <c r="Z2410" s="5" t="str">
        <f>HYPERLINK("https://knigipp.ru/api/getInfo/image/c6b847ab-8f89-11ee-a250-00155d82e908")</f>
        <v>https://knigipp.ru/api/getInfo/image/c6b847ab-8f89-11ee-a250-00155d82e908</v>
      </c>
      <c r="AA2410" s="33">
        <v>14</v>
      </c>
      <c r="AB2410" s="5"/>
      <c r="AC2410" s="5" t="s">
        <v>140</v>
      </c>
      <c r="AD2410" s="5"/>
      <c r="AE2410" s="5" t="s">
        <v>49</v>
      </c>
      <c r="AF2410" s="5"/>
      <c r="AG2410" s="5"/>
      <c r="AH2410" s="5" t="s">
        <v>10638</v>
      </c>
    </row>
    <row r="2411" spans="2:34" ht="21" customHeight="1" outlineLevel="4" x14ac:dyDescent="0.2">
      <c r="B2411" s="42">
        <v>1898</v>
      </c>
      <c r="C2411" s="5" t="s">
        <v>10653</v>
      </c>
      <c r="D2411" s="5" t="s">
        <v>10654</v>
      </c>
      <c r="E2411" s="6" t="s">
        <v>10655</v>
      </c>
      <c r="F2411" s="10"/>
      <c r="G2411" s="11" t="s">
        <v>10635</v>
      </c>
      <c r="H2411" s="12">
        <v>40</v>
      </c>
      <c r="I2411" s="13" t="s">
        <v>41</v>
      </c>
      <c r="J2411" s="13"/>
      <c r="K2411" s="13"/>
      <c r="L2411" s="4">
        <v>3</v>
      </c>
      <c r="M2411" s="14">
        <f>297*(1-P3/100)</f>
        <v>297</v>
      </c>
      <c r="N2411" s="15"/>
      <c r="O2411" s="13">
        <f>M2411*N2411</f>
        <v>0</v>
      </c>
      <c r="P2411" s="22">
        <f>0.049*N2411</f>
        <v>0</v>
      </c>
      <c r="Q2411" s="23">
        <f>0.00053*N2411</f>
        <v>0</v>
      </c>
      <c r="R2411" s="24"/>
      <c r="S2411" s="25" t="s">
        <v>10656</v>
      </c>
      <c r="T2411" s="25" t="s">
        <v>43</v>
      </c>
      <c r="U2411" s="5"/>
      <c r="V2411" s="5" t="s">
        <v>10657</v>
      </c>
      <c r="W2411" s="5" t="s">
        <v>46</v>
      </c>
      <c r="X2411" s="5"/>
      <c r="Y2411" s="5"/>
      <c r="Z2411" s="5" t="str">
        <f>HYPERLINK("https://knigipp.ru/api/getInfo/image/c2196765-a1a7-11ea-a248-ac1f6b442184")</f>
        <v>https://knigipp.ru/api/getInfo/image/c2196765-a1a7-11ea-a248-ac1f6b442184</v>
      </c>
      <c r="AA2411" s="33">
        <v>14</v>
      </c>
      <c r="AB2411" s="5"/>
      <c r="AC2411" s="5" t="s">
        <v>140</v>
      </c>
      <c r="AD2411" s="5"/>
      <c r="AE2411" s="5" t="s">
        <v>49</v>
      </c>
      <c r="AF2411" s="5"/>
      <c r="AG2411" s="5"/>
      <c r="AH2411" s="5" t="s">
        <v>10638</v>
      </c>
    </row>
    <row r="2412" spans="2:34" ht="22.95" customHeight="1" outlineLevel="3" x14ac:dyDescent="0.2">
      <c r="B2412" s="74" t="s">
        <v>10658</v>
      </c>
      <c r="C2412" s="74"/>
      <c r="D2412" s="74"/>
    </row>
    <row r="2413" spans="2:34" ht="21" customHeight="1" outlineLevel="4" x14ac:dyDescent="0.2">
      <c r="B2413" s="42">
        <v>1899</v>
      </c>
      <c r="C2413" s="5" t="s">
        <v>10659</v>
      </c>
      <c r="D2413" s="5" t="s">
        <v>10660</v>
      </c>
      <c r="E2413" s="6" t="s">
        <v>10661</v>
      </c>
      <c r="F2413" s="10"/>
      <c r="G2413" s="11" t="s">
        <v>10662</v>
      </c>
      <c r="H2413" s="12">
        <v>30</v>
      </c>
      <c r="I2413" s="13" t="s">
        <v>41</v>
      </c>
      <c r="J2413" s="13"/>
      <c r="K2413" s="13"/>
      <c r="L2413" s="4">
        <v>6</v>
      </c>
      <c r="M2413" s="14">
        <f>109*(1-P3/100)</f>
        <v>109</v>
      </c>
      <c r="N2413" s="15"/>
      <c r="O2413" s="13">
        <f t="shared" ref="O2413:O2426" si="108">M2413*N2413</f>
        <v>0</v>
      </c>
      <c r="P2413" s="22">
        <f>0.053*N2413</f>
        <v>0</v>
      </c>
      <c r="Q2413" s="30">
        <f>0.0003*N2413</f>
        <v>0</v>
      </c>
      <c r="R2413" s="24"/>
      <c r="S2413" s="25" t="s">
        <v>10663</v>
      </c>
      <c r="T2413" s="25" t="s">
        <v>43</v>
      </c>
      <c r="U2413" s="5" t="s">
        <v>630</v>
      </c>
      <c r="V2413" s="5"/>
      <c r="W2413" s="5" t="s">
        <v>46</v>
      </c>
      <c r="X2413" s="5"/>
      <c r="Y2413" s="5"/>
      <c r="Z2413" s="5" t="str">
        <f>HYPERLINK("https://knigipp.ru/api/getInfo/image/a2730676-eb69-11ea-a254-ac1f6b442184")</f>
        <v>https://knigipp.ru/api/getInfo/image/a2730676-eb69-11ea-a254-ac1f6b442184</v>
      </c>
      <c r="AA2413" s="33">
        <v>12</v>
      </c>
      <c r="AB2413" s="5"/>
      <c r="AC2413" s="5" t="s">
        <v>5296</v>
      </c>
      <c r="AD2413" s="5"/>
      <c r="AE2413" s="5" t="s">
        <v>49</v>
      </c>
      <c r="AF2413" s="5"/>
      <c r="AG2413" s="5" t="s">
        <v>10664</v>
      </c>
      <c r="AH2413" s="5" t="s">
        <v>10665</v>
      </c>
    </row>
    <row r="2414" spans="2:34" ht="21" customHeight="1" outlineLevel="4" x14ac:dyDescent="0.2">
      <c r="B2414" s="42">
        <v>1900</v>
      </c>
      <c r="C2414" s="5" t="s">
        <v>10666</v>
      </c>
      <c r="D2414" s="5" t="s">
        <v>10667</v>
      </c>
      <c r="E2414" s="6" t="s">
        <v>10668</v>
      </c>
      <c r="F2414" s="10"/>
      <c r="G2414" s="11" t="s">
        <v>10662</v>
      </c>
      <c r="H2414" s="12">
        <v>30</v>
      </c>
      <c r="I2414" s="13" t="s">
        <v>41</v>
      </c>
      <c r="J2414" s="13"/>
      <c r="K2414" s="13"/>
      <c r="L2414" s="4">
        <v>6</v>
      </c>
      <c r="M2414" s="14">
        <f>109*(1-P3/100)</f>
        <v>109</v>
      </c>
      <c r="N2414" s="15"/>
      <c r="O2414" s="13">
        <f t="shared" si="108"/>
        <v>0</v>
      </c>
      <c r="P2414" s="22">
        <f>0.053*N2414</f>
        <v>0</v>
      </c>
      <c r="Q2414" s="30">
        <f>0.0003*N2414</f>
        <v>0</v>
      </c>
      <c r="R2414" s="24"/>
      <c r="S2414" s="25" t="s">
        <v>10669</v>
      </c>
      <c r="T2414" s="25" t="s">
        <v>43</v>
      </c>
      <c r="U2414" s="5" t="s">
        <v>8583</v>
      </c>
      <c r="V2414" s="5"/>
      <c r="W2414" s="5" t="s">
        <v>46</v>
      </c>
      <c r="X2414" s="5"/>
      <c r="Y2414" s="5"/>
      <c r="Z2414" s="5" t="str">
        <f>HYPERLINK("https://knigipp.ru/api/getInfo/image/b6535cd9-eb69-11ea-a254-ac1f6b442184")</f>
        <v>https://knigipp.ru/api/getInfo/image/b6535cd9-eb69-11ea-a254-ac1f6b442184</v>
      </c>
      <c r="AA2414" s="33">
        <v>12</v>
      </c>
      <c r="AB2414" s="5"/>
      <c r="AC2414" s="5" t="s">
        <v>5296</v>
      </c>
      <c r="AD2414" s="5"/>
      <c r="AE2414" s="5" t="s">
        <v>49</v>
      </c>
      <c r="AF2414" s="5"/>
      <c r="AG2414" s="5" t="s">
        <v>10664</v>
      </c>
      <c r="AH2414" s="5" t="s">
        <v>10665</v>
      </c>
    </row>
    <row r="2415" spans="2:34" ht="21" customHeight="1" outlineLevel="4" x14ac:dyDescent="0.2">
      <c r="B2415" s="42">
        <v>1901</v>
      </c>
      <c r="C2415" s="5" t="s">
        <v>10670</v>
      </c>
      <c r="D2415" s="5" t="s">
        <v>10671</v>
      </c>
      <c r="E2415" s="6" t="s">
        <v>10672</v>
      </c>
      <c r="F2415" s="10"/>
      <c r="G2415" s="11" t="s">
        <v>10673</v>
      </c>
      <c r="H2415" s="12">
        <v>30</v>
      </c>
      <c r="I2415" s="13" t="s">
        <v>41</v>
      </c>
      <c r="J2415" s="13"/>
      <c r="K2415" s="13"/>
      <c r="L2415" s="4">
        <v>6</v>
      </c>
      <c r="M2415" s="14">
        <f>109*(1-P3/100)</f>
        <v>109</v>
      </c>
      <c r="N2415" s="15"/>
      <c r="O2415" s="13">
        <f t="shared" si="108"/>
        <v>0</v>
      </c>
      <c r="P2415" s="22">
        <f>0.053*N2415</f>
        <v>0</v>
      </c>
      <c r="Q2415" s="30">
        <f>0.0003*N2415</f>
        <v>0</v>
      </c>
      <c r="R2415" s="24"/>
      <c r="S2415" s="25" t="s">
        <v>10674</v>
      </c>
      <c r="T2415" s="25" t="s">
        <v>43</v>
      </c>
      <c r="U2415" s="5" t="s">
        <v>157</v>
      </c>
      <c r="V2415" s="5"/>
      <c r="W2415" s="5" t="s">
        <v>46</v>
      </c>
      <c r="X2415" s="5"/>
      <c r="Y2415" s="5"/>
      <c r="Z2415" s="5" t="str">
        <f>HYPERLINK("https://knigipp.ru/api/getInfo/image/c5a2eb80-f009-11e9-a235-ac1f6b442184")</f>
        <v>https://knigipp.ru/api/getInfo/image/c5a2eb80-f009-11e9-a235-ac1f6b442184</v>
      </c>
      <c r="AA2415" s="33">
        <v>12</v>
      </c>
      <c r="AB2415" s="5"/>
      <c r="AC2415" s="5" t="s">
        <v>5296</v>
      </c>
      <c r="AD2415" s="5"/>
      <c r="AE2415" s="5" t="s">
        <v>49</v>
      </c>
      <c r="AF2415" s="5"/>
      <c r="AG2415" s="5" t="s">
        <v>10664</v>
      </c>
      <c r="AH2415" s="5" t="s">
        <v>10665</v>
      </c>
    </row>
    <row r="2416" spans="2:34" ht="21" customHeight="1" outlineLevel="4" x14ac:dyDescent="0.2">
      <c r="B2416" s="42">
        <v>1902</v>
      </c>
      <c r="C2416" s="5" t="s">
        <v>10675</v>
      </c>
      <c r="D2416" s="5" t="s">
        <v>10676</v>
      </c>
      <c r="E2416" s="6" t="s">
        <v>10677</v>
      </c>
      <c r="F2416" s="10"/>
      <c r="G2416" s="11" t="s">
        <v>10673</v>
      </c>
      <c r="H2416" s="12">
        <v>30</v>
      </c>
      <c r="I2416" s="13" t="s">
        <v>41</v>
      </c>
      <c r="J2416" s="13"/>
      <c r="K2416" s="13"/>
      <c r="L2416" s="4">
        <v>6</v>
      </c>
      <c r="M2416" s="14">
        <f>109*(1-P3/100)</f>
        <v>109</v>
      </c>
      <c r="N2416" s="15"/>
      <c r="O2416" s="13">
        <f t="shared" si="108"/>
        <v>0</v>
      </c>
      <c r="P2416" s="22">
        <f>0.046*N2416</f>
        <v>0</v>
      </c>
      <c r="Q2416" s="23">
        <f>0.00049*N2416</f>
        <v>0</v>
      </c>
      <c r="R2416" s="24"/>
      <c r="S2416" s="25" t="s">
        <v>10678</v>
      </c>
      <c r="T2416" s="25" t="s">
        <v>43</v>
      </c>
      <c r="U2416" s="5" t="s">
        <v>157</v>
      </c>
      <c r="V2416" s="5"/>
      <c r="W2416" s="5" t="s">
        <v>46</v>
      </c>
      <c r="X2416" s="5"/>
      <c r="Y2416" s="5"/>
      <c r="Z2416" s="5" t="str">
        <f>HYPERLINK("https://knigipp.ru/api/getInfo/image/b04a60da-f009-11e9-a235-ac1f6b442184")</f>
        <v>https://knigipp.ru/api/getInfo/image/b04a60da-f009-11e9-a235-ac1f6b442184</v>
      </c>
      <c r="AA2416" s="33">
        <v>12</v>
      </c>
      <c r="AB2416" s="5"/>
      <c r="AC2416" s="5" t="s">
        <v>5296</v>
      </c>
      <c r="AD2416" s="5"/>
      <c r="AE2416" s="5" t="s">
        <v>49</v>
      </c>
      <c r="AF2416" s="5"/>
      <c r="AG2416" s="5" t="s">
        <v>10664</v>
      </c>
      <c r="AH2416" s="5" t="s">
        <v>10665</v>
      </c>
    </row>
    <row r="2417" spans="2:35" ht="21" customHeight="1" outlineLevel="4" x14ac:dyDescent="0.2">
      <c r="B2417" s="42">
        <v>1903</v>
      </c>
      <c r="C2417" s="5" t="s">
        <v>10679</v>
      </c>
      <c r="D2417" s="5" t="s">
        <v>10680</v>
      </c>
      <c r="E2417" s="6" t="s">
        <v>10681</v>
      </c>
      <c r="F2417" s="10"/>
      <c r="G2417" s="11" t="s">
        <v>10662</v>
      </c>
      <c r="H2417" s="12">
        <v>30</v>
      </c>
      <c r="I2417" s="13" t="s">
        <v>261</v>
      </c>
      <c r="J2417" s="13"/>
      <c r="K2417" s="13"/>
      <c r="L2417" s="4">
        <v>6</v>
      </c>
      <c r="M2417" s="14">
        <f>109*(1-P3/100)</f>
        <v>109</v>
      </c>
      <c r="N2417" s="15"/>
      <c r="O2417" s="13">
        <f t="shared" si="108"/>
        <v>0</v>
      </c>
      <c r="P2417" s="22">
        <f>0.053*N2417</f>
        <v>0</v>
      </c>
      <c r="Q2417" s="30">
        <f>0.0003*N2417</f>
        <v>0</v>
      </c>
      <c r="R2417" s="24"/>
      <c r="S2417" s="25" t="s">
        <v>10682</v>
      </c>
      <c r="T2417" s="25" t="s">
        <v>43</v>
      </c>
      <c r="U2417" s="5"/>
      <c r="V2417" s="5"/>
      <c r="W2417" s="5" t="s">
        <v>46</v>
      </c>
      <c r="X2417" s="5"/>
      <c r="Y2417" s="5"/>
      <c r="Z2417" s="5" t="str">
        <f>HYPERLINK("https://knigipp.ru/api/getInfo/image/fe7252ca-d275-11ea-a250-ac1f6b442184")</f>
        <v>https://knigipp.ru/api/getInfo/image/fe7252ca-d275-11ea-a250-ac1f6b442184</v>
      </c>
      <c r="AA2417" s="33">
        <v>12</v>
      </c>
      <c r="AB2417" s="5"/>
      <c r="AC2417" s="5" t="s">
        <v>5296</v>
      </c>
      <c r="AD2417" s="5"/>
      <c r="AE2417" s="5" t="s">
        <v>49</v>
      </c>
      <c r="AF2417" s="5"/>
      <c r="AG2417" s="5" t="s">
        <v>10664</v>
      </c>
      <c r="AH2417" s="5" t="s">
        <v>10665</v>
      </c>
    </row>
    <row r="2418" spans="2:35" ht="21" customHeight="1" outlineLevel="4" x14ac:dyDescent="0.2">
      <c r="B2418" s="42">
        <v>1904</v>
      </c>
      <c r="C2418" s="5" t="s">
        <v>10683</v>
      </c>
      <c r="D2418" s="5" t="s">
        <v>10684</v>
      </c>
      <c r="E2418" s="6" t="s">
        <v>10685</v>
      </c>
      <c r="F2418" s="10"/>
      <c r="G2418" s="11" t="s">
        <v>10662</v>
      </c>
      <c r="H2418" s="12">
        <v>30</v>
      </c>
      <c r="I2418" s="13" t="s">
        <v>41</v>
      </c>
      <c r="J2418" s="13"/>
      <c r="K2418" s="13"/>
      <c r="L2418" s="4">
        <v>6</v>
      </c>
      <c r="M2418" s="14">
        <f>109*(1-P3/100)</f>
        <v>109</v>
      </c>
      <c r="N2418" s="15"/>
      <c r="O2418" s="13">
        <f t="shared" si="108"/>
        <v>0</v>
      </c>
      <c r="P2418" s="22">
        <f>0.045*N2418</f>
        <v>0</v>
      </c>
      <c r="Q2418" s="23">
        <f>0.00045*N2418</f>
        <v>0</v>
      </c>
      <c r="R2418" s="24"/>
      <c r="S2418" s="25" t="s">
        <v>10686</v>
      </c>
      <c r="T2418" s="25" t="s">
        <v>43</v>
      </c>
      <c r="U2418" s="5" t="s">
        <v>9293</v>
      </c>
      <c r="V2418" s="5"/>
      <c r="W2418" s="5" t="s">
        <v>46</v>
      </c>
      <c r="X2418" s="5"/>
      <c r="Y2418" s="5"/>
      <c r="Z2418" s="5" t="str">
        <f>HYPERLINK("https://knigipp.ru/api/getInfo/image/d4f1723b-eb69-11ea-a254-ac1f6b442184")</f>
        <v>https://knigipp.ru/api/getInfo/image/d4f1723b-eb69-11ea-a254-ac1f6b442184</v>
      </c>
      <c r="AA2418" s="33">
        <v>12</v>
      </c>
      <c r="AB2418" s="5"/>
      <c r="AC2418" s="5" t="s">
        <v>5296</v>
      </c>
      <c r="AD2418" s="5"/>
      <c r="AE2418" s="5" t="s">
        <v>49</v>
      </c>
      <c r="AF2418" s="5"/>
      <c r="AG2418" s="5" t="s">
        <v>10664</v>
      </c>
      <c r="AH2418" s="5" t="s">
        <v>10665</v>
      </c>
    </row>
    <row r="2419" spans="2:35" ht="21" customHeight="1" outlineLevel="4" x14ac:dyDescent="0.2">
      <c r="B2419" s="42">
        <v>1905</v>
      </c>
      <c r="C2419" s="5" t="s">
        <v>10687</v>
      </c>
      <c r="D2419" s="5" t="s">
        <v>10688</v>
      </c>
      <c r="E2419" s="6" t="s">
        <v>10689</v>
      </c>
      <c r="F2419" s="10"/>
      <c r="G2419" s="11" t="s">
        <v>10662</v>
      </c>
      <c r="H2419" s="12">
        <v>30</v>
      </c>
      <c r="I2419" s="13" t="s">
        <v>261</v>
      </c>
      <c r="J2419" s="13"/>
      <c r="K2419" s="13"/>
      <c r="L2419" s="4">
        <v>6</v>
      </c>
      <c r="M2419" s="14">
        <f>109*(1-P3/100)</f>
        <v>109</v>
      </c>
      <c r="N2419" s="15"/>
      <c r="O2419" s="13">
        <f t="shared" si="108"/>
        <v>0</v>
      </c>
      <c r="P2419" s="22">
        <f>0.053*N2419</f>
        <v>0</v>
      </c>
      <c r="Q2419" s="30">
        <f>0.0003*N2419</f>
        <v>0</v>
      </c>
      <c r="R2419" s="24"/>
      <c r="S2419" s="25" t="s">
        <v>10690</v>
      </c>
      <c r="T2419" s="25" t="s">
        <v>43</v>
      </c>
      <c r="U2419" s="5"/>
      <c r="V2419" s="5"/>
      <c r="W2419" s="5" t="s">
        <v>46</v>
      </c>
      <c r="X2419" s="5"/>
      <c r="Y2419" s="5"/>
      <c r="Z2419" s="5" t="str">
        <f>HYPERLINK("https://knigipp.ru/api/getInfo/image/1739367b-d276-11ea-a250-ac1f6b442184")</f>
        <v>https://knigipp.ru/api/getInfo/image/1739367b-d276-11ea-a250-ac1f6b442184</v>
      </c>
      <c r="AA2419" s="33">
        <v>12</v>
      </c>
      <c r="AB2419" s="5"/>
      <c r="AC2419" s="5" t="s">
        <v>5296</v>
      </c>
      <c r="AD2419" s="5"/>
      <c r="AE2419" s="5" t="s">
        <v>49</v>
      </c>
      <c r="AF2419" s="5"/>
      <c r="AG2419" s="5" t="s">
        <v>10664</v>
      </c>
      <c r="AH2419" s="5" t="s">
        <v>10665</v>
      </c>
    </row>
    <row r="2420" spans="2:35" ht="21" customHeight="1" outlineLevel="4" x14ac:dyDescent="0.2">
      <c r="B2420" s="42">
        <v>1906</v>
      </c>
      <c r="C2420" s="5" t="s">
        <v>10691</v>
      </c>
      <c r="D2420" s="5" t="s">
        <v>10692</v>
      </c>
      <c r="E2420" s="6" t="s">
        <v>10693</v>
      </c>
      <c r="F2420" s="10"/>
      <c r="G2420" s="11" t="s">
        <v>10694</v>
      </c>
      <c r="H2420" s="12">
        <v>30</v>
      </c>
      <c r="I2420" s="13" t="s">
        <v>41</v>
      </c>
      <c r="J2420" s="13"/>
      <c r="K2420" s="13"/>
      <c r="L2420" s="4">
        <v>6</v>
      </c>
      <c r="M2420" s="14">
        <f>109*(1-P3/100)</f>
        <v>109</v>
      </c>
      <c r="N2420" s="15"/>
      <c r="O2420" s="13">
        <f t="shared" si="108"/>
        <v>0</v>
      </c>
      <c r="P2420" s="22">
        <f>0.047*N2420</f>
        <v>0</v>
      </c>
      <c r="Q2420" s="23">
        <f>0.00049*N2420</f>
        <v>0</v>
      </c>
      <c r="R2420" s="24"/>
      <c r="S2420" s="25" t="s">
        <v>10695</v>
      </c>
      <c r="T2420" s="25" t="s">
        <v>43</v>
      </c>
      <c r="U2420" s="5"/>
      <c r="V2420" s="5" t="s">
        <v>10696</v>
      </c>
      <c r="W2420" s="5" t="s">
        <v>46</v>
      </c>
      <c r="X2420" s="5" t="s">
        <v>10697</v>
      </c>
      <c r="Y2420" s="5"/>
      <c r="Z2420" s="5" t="str">
        <f>HYPERLINK("https://knigipp.ru/api/getInfo/image/66f42bae-48ec-11ef-a262-00155d82e908")</f>
        <v>https://knigipp.ru/api/getInfo/image/66f42bae-48ec-11ef-a262-00155d82e908</v>
      </c>
      <c r="AA2420" s="33">
        <v>12</v>
      </c>
      <c r="AB2420" s="5"/>
      <c r="AC2420" s="5" t="s">
        <v>5296</v>
      </c>
      <c r="AD2420" s="5"/>
      <c r="AE2420" s="5" t="s">
        <v>49</v>
      </c>
      <c r="AF2420" s="5"/>
      <c r="AG2420" s="5" t="s">
        <v>10664</v>
      </c>
      <c r="AH2420" s="5" t="s">
        <v>10665</v>
      </c>
    </row>
    <row r="2421" spans="2:35" ht="21" customHeight="1" outlineLevel="4" x14ac:dyDescent="0.2">
      <c r="B2421" s="42">
        <v>1907</v>
      </c>
      <c r="C2421" s="5" t="s">
        <v>10698</v>
      </c>
      <c r="D2421" s="5" t="s">
        <v>10699</v>
      </c>
      <c r="E2421" s="6" t="s">
        <v>10700</v>
      </c>
      <c r="F2421" s="10"/>
      <c r="G2421" s="11" t="s">
        <v>10694</v>
      </c>
      <c r="H2421" s="12">
        <v>30</v>
      </c>
      <c r="I2421" s="13" t="s">
        <v>41</v>
      </c>
      <c r="J2421" s="13"/>
      <c r="K2421" s="13"/>
      <c r="L2421" s="4">
        <v>6</v>
      </c>
      <c r="M2421" s="14">
        <f>109*(1-P3/100)</f>
        <v>109</v>
      </c>
      <c r="N2421" s="15"/>
      <c r="O2421" s="13">
        <f t="shared" si="108"/>
        <v>0</v>
      </c>
      <c r="P2421" s="22">
        <f>0.044*N2421</f>
        <v>0</v>
      </c>
      <c r="Q2421" s="23">
        <f>0.00043*N2421</f>
        <v>0</v>
      </c>
      <c r="R2421" s="24"/>
      <c r="S2421" s="25" t="s">
        <v>10701</v>
      </c>
      <c r="T2421" s="25" t="s">
        <v>43</v>
      </c>
      <c r="U2421" s="5"/>
      <c r="V2421" s="5" t="s">
        <v>10702</v>
      </c>
      <c r="W2421" s="5" t="s">
        <v>46</v>
      </c>
      <c r="X2421" s="5" t="s">
        <v>10697</v>
      </c>
      <c r="Y2421" s="5"/>
      <c r="Z2421" s="5" t="str">
        <f>HYPERLINK("https://knigipp.ru/api/getInfo/image/c5320ebe-48ec-11ef-a262-00155d82e908")</f>
        <v>https://knigipp.ru/api/getInfo/image/c5320ebe-48ec-11ef-a262-00155d82e908</v>
      </c>
      <c r="AA2421" s="33">
        <v>12</v>
      </c>
      <c r="AB2421" s="5"/>
      <c r="AC2421" s="5" t="s">
        <v>5296</v>
      </c>
      <c r="AD2421" s="5"/>
      <c r="AE2421" s="5" t="s">
        <v>49</v>
      </c>
      <c r="AF2421" s="5"/>
      <c r="AG2421" s="5" t="s">
        <v>10664</v>
      </c>
      <c r="AH2421" s="5" t="s">
        <v>10665</v>
      </c>
    </row>
    <row r="2422" spans="2:35" ht="21" customHeight="1" outlineLevel="4" x14ac:dyDescent="0.2">
      <c r="B2422" s="42">
        <v>1908</v>
      </c>
      <c r="C2422" s="5" t="s">
        <v>10703</v>
      </c>
      <c r="D2422" s="5" t="s">
        <v>10704</v>
      </c>
      <c r="E2422" s="6" t="s">
        <v>10705</v>
      </c>
      <c r="F2422" s="10"/>
      <c r="G2422" s="11" t="s">
        <v>10706</v>
      </c>
      <c r="H2422" s="12">
        <v>30</v>
      </c>
      <c r="I2422" s="13" t="s">
        <v>261</v>
      </c>
      <c r="J2422" s="13"/>
      <c r="K2422" s="13"/>
      <c r="L2422" s="4">
        <v>6</v>
      </c>
      <c r="M2422" s="14">
        <f>109*(1-P3/100)</f>
        <v>109</v>
      </c>
      <c r="N2422" s="15"/>
      <c r="O2422" s="13">
        <f t="shared" si="108"/>
        <v>0</v>
      </c>
      <c r="P2422" s="22">
        <f>0.036*N2422</f>
        <v>0</v>
      </c>
      <c r="Q2422" s="23">
        <f>0.00038*N2422</f>
        <v>0</v>
      </c>
      <c r="R2422" s="24"/>
      <c r="S2422" s="25" t="s">
        <v>10707</v>
      </c>
      <c r="T2422" s="25" t="s">
        <v>43</v>
      </c>
      <c r="U2422" s="5"/>
      <c r="V2422" s="5"/>
      <c r="W2422" s="5" t="s">
        <v>46</v>
      </c>
      <c r="X2422" s="5"/>
      <c r="Y2422" s="5"/>
      <c r="Z2422" s="5" t="str">
        <f>HYPERLINK("https://knigipp.ru/api/getInfo/image/dc3d5872-d275-11ea-a250-ac1f6b442184")</f>
        <v>https://knigipp.ru/api/getInfo/image/dc3d5872-d275-11ea-a250-ac1f6b442184</v>
      </c>
      <c r="AA2422" s="33">
        <v>12</v>
      </c>
      <c r="AB2422" s="5"/>
      <c r="AC2422" s="5" t="s">
        <v>5296</v>
      </c>
      <c r="AD2422" s="5"/>
      <c r="AE2422" s="5" t="s">
        <v>49</v>
      </c>
      <c r="AF2422" s="5"/>
      <c r="AG2422" s="5" t="s">
        <v>10664</v>
      </c>
      <c r="AH2422" s="5" t="s">
        <v>10665</v>
      </c>
    </row>
    <row r="2423" spans="2:35" ht="21" customHeight="1" outlineLevel="4" x14ac:dyDescent="0.2">
      <c r="B2423" s="42">
        <v>1909</v>
      </c>
      <c r="C2423" s="5" t="s">
        <v>10708</v>
      </c>
      <c r="D2423" s="5" t="s">
        <v>10709</v>
      </c>
      <c r="E2423" s="6" t="s">
        <v>10710</v>
      </c>
      <c r="F2423" s="10"/>
      <c r="G2423" s="11" t="s">
        <v>10673</v>
      </c>
      <c r="H2423" s="12">
        <v>30</v>
      </c>
      <c r="I2423" s="13" t="s">
        <v>371</v>
      </c>
      <c r="J2423" s="13"/>
      <c r="K2423" s="13"/>
      <c r="L2423" s="4">
        <v>6</v>
      </c>
      <c r="M2423" s="14">
        <f>109*(1-P3/100)</f>
        <v>109</v>
      </c>
      <c r="N2423" s="15"/>
      <c r="O2423" s="13">
        <f t="shared" si="108"/>
        <v>0</v>
      </c>
      <c r="P2423" s="22">
        <f>0.053*N2423</f>
        <v>0</v>
      </c>
      <c r="Q2423" s="30">
        <f>0.0003*N2423</f>
        <v>0</v>
      </c>
      <c r="R2423" s="24"/>
      <c r="S2423" s="25" t="s">
        <v>10711</v>
      </c>
      <c r="T2423" s="25" t="s">
        <v>43</v>
      </c>
      <c r="U2423" s="5"/>
      <c r="V2423" s="5"/>
      <c r="W2423" s="5" t="s">
        <v>46</v>
      </c>
      <c r="X2423" s="5"/>
      <c r="Y2423" s="5"/>
      <c r="Z2423" s="5" t="str">
        <f>HYPERLINK("https://knigipp.ru/api/getInfo/image/e8d272a9-f009-11e9-a235-ac1f6b442184")</f>
        <v>https://knigipp.ru/api/getInfo/image/e8d272a9-f009-11e9-a235-ac1f6b442184</v>
      </c>
      <c r="AA2423" s="33">
        <v>12</v>
      </c>
      <c r="AB2423" s="5"/>
      <c r="AC2423" s="5" t="s">
        <v>5296</v>
      </c>
      <c r="AD2423" s="5"/>
      <c r="AE2423" s="5" t="s">
        <v>49</v>
      </c>
      <c r="AF2423" s="5"/>
      <c r="AG2423" s="5" t="s">
        <v>10664</v>
      </c>
      <c r="AH2423" s="5" t="s">
        <v>10665</v>
      </c>
    </row>
    <row r="2424" spans="2:35" ht="21" customHeight="1" outlineLevel="4" x14ac:dyDescent="0.2">
      <c r="B2424" s="42">
        <v>1910</v>
      </c>
      <c r="C2424" s="5" t="s">
        <v>10712</v>
      </c>
      <c r="D2424" s="5" t="s">
        <v>10713</v>
      </c>
      <c r="E2424" s="6" t="s">
        <v>10714</v>
      </c>
      <c r="F2424" s="10"/>
      <c r="G2424" s="11" t="s">
        <v>10706</v>
      </c>
      <c r="H2424" s="12">
        <v>30</v>
      </c>
      <c r="I2424" s="13" t="s">
        <v>261</v>
      </c>
      <c r="J2424" s="13"/>
      <c r="K2424" s="13"/>
      <c r="L2424" s="4">
        <v>6</v>
      </c>
      <c r="M2424" s="14">
        <f>109*(1-P3/100)</f>
        <v>109</v>
      </c>
      <c r="N2424" s="15"/>
      <c r="O2424" s="13">
        <f t="shared" si="108"/>
        <v>0</v>
      </c>
      <c r="P2424" s="22">
        <f>0.053*N2424</f>
        <v>0</v>
      </c>
      <c r="Q2424" s="30">
        <f>0.0003*N2424</f>
        <v>0</v>
      </c>
      <c r="R2424" s="24"/>
      <c r="S2424" s="25" t="s">
        <v>10715</v>
      </c>
      <c r="T2424" s="25" t="s">
        <v>43</v>
      </c>
      <c r="U2424" s="5"/>
      <c r="V2424" s="5"/>
      <c r="W2424" s="5" t="s">
        <v>46</v>
      </c>
      <c r="X2424" s="5"/>
      <c r="Y2424" s="5"/>
      <c r="Z2424" s="5" t="str">
        <f>HYPERLINK("https://knigipp.ru/api/getInfo/image/efe9c92a-d275-11ea-a250-ac1f6b442184")</f>
        <v>https://knigipp.ru/api/getInfo/image/efe9c92a-d275-11ea-a250-ac1f6b442184</v>
      </c>
      <c r="AA2424" s="33">
        <v>12</v>
      </c>
      <c r="AB2424" s="5"/>
      <c r="AC2424" s="5" t="s">
        <v>5296</v>
      </c>
      <c r="AD2424" s="5"/>
      <c r="AE2424" s="5" t="s">
        <v>49</v>
      </c>
      <c r="AF2424" s="5"/>
      <c r="AG2424" s="5" t="s">
        <v>10664</v>
      </c>
      <c r="AH2424" s="5" t="s">
        <v>10665</v>
      </c>
    </row>
    <row r="2425" spans="2:35" ht="21" customHeight="1" outlineLevel="4" x14ac:dyDescent="0.2">
      <c r="B2425" s="42">
        <v>1911</v>
      </c>
      <c r="C2425" s="5" t="s">
        <v>10716</v>
      </c>
      <c r="D2425" s="5" t="s">
        <v>10717</v>
      </c>
      <c r="E2425" s="6" t="s">
        <v>10718</v>
      </c>
      <c r="F2425" s="10"/>
      <c r="G2425" s="11" t="s">
        <v>10662</v>
      </c>
      <c r="H2425" s="12">
        <v>30</v>
      </c>
      <c r="I2425" s="13" t="s">
        <v>371</v>
      </c>
      <c r="J2425" s="13"/>
      <c r="K2425" s="13"/>
      <c r="L2425" s="4">
        <v>6</v>
      </c>
      <c r="M2425" s="14">
        <f>109*(1-P3/100)</f>
        <v>109</v>
      </c>
      <c r="N2425" s="15"/>
      <c r="O2425" s="13">
        <f t="shared" si="108"/>
        <v>0</v>
      </c>
      <c r="P2425" s="22">
        <f>0.053*N2425</f>
        <v>0</v>
      </c>
      <c r="Q2425" s="30">
        <f>0.0003*N2425</f>
        <v>0</v>
      </c>
      <c r="R2425" s="24"/>
      <c r="S2425" s="25" t="s">
        <v>10719</v>
      </c>
      <c r="T2425" s="25" t="s">
        <v>43</v>
      </c>
      <c r="U2425" s="5"/>
      <c r="V2425" s="5"/>
      <c r="W2425" s="5" t="s">
        <v>46</v>
      </c>
      <c r="X2425" s="5"/>
      <c r="Y2425" s="5"/>
      <c r="Z2425" s="5" t="str">
        <f>HYPERLINK("https://knigipp.ru/api/getInfo/image/873b77a3-eb69-11ea-a254-ac1f6b442184")</f>
        <v>https://knigipp.ru/api/getInfo/image/873b77a3-eb69-11ea-a254-ac1f6b442184</v>
      </c>
      <c r="AA2425" s="33">
        <v>12</v>
      </c>
      <c r="AB2425" s="5"/>
      <c r="AC2425" s="5" t="s">
        <v>5296</v>
      </c>
      <c r="AD2425" s="5"/>
      <c r="AE2425" s="5" t="s">
        <v>49</v>
      </c>
      <c r="AF2425" s="5"/>
      <c r="AG2425" s="5" t="s">
        <v>10664</v>
      </c>
      <c r="AH2425" s="5" t="s">
        <v>10665</v>
      </c>
    </row>
    <row r="2426" spans="2:35" ht="21" customHeight="1" outlineLevel="4" x14ac:dyDescent="0.2">
      <c r="B2426" s="42">
        <v>1912</v>
      </c>
      <c r="C2426" s="5" t="s">
        <v>10720</v>
      </c>
      <c r="D2426" s="5" t="s">
        <v>10721</v>
      </c>
      <c r="E2426" s="6" t="s">
        <v>10722</v>
      </c>
      <c r="F2426" s="10"/>
      <c r="G2426" s="11" t="s">
        <v>10673</v>
      </c>
      <c r="H2426" s="12">
        <v>30</v>
      </c>
      <c r="I2426" s="13" t="s">
        <v>41</v>
      </c>
      <c r="J2426" s="13"/>
      <c r="K2426" s="13"/>
      <c r="L2426" s="4">
        <v>6</v>
      </c>
      <c r="M2426" s="14">
        <f>109*(1-P3/100)</f>
        <v>109</v>
      </c>
      <c r="N2426" s="15"/>
      <c r="O2426" s="13">
        <f t="shared" si="108"/>
        <v>0</v>
      </c>
      <c r="P2426" s="22">
        <f>0.053*N2426</f>
        <v>0</v>
      </c>
      <c r="Q2426" s="30">
        <f>0.0003*N2426</f>
        <v>0</v>
      </c>
      <c r="R2426" s="24"/>
      <c r="S2426" s="25" t="s">
        <v>10723</v>
      </c>
      <c r="T2426" s="25" t="s">
        <v>43</v>
      </c>
      <c r="U2426" s="5"/>
      <c r="V2426" s="5"/>
      <c r="W2426" s="5" t="s">
        <v>46</v>
      </c>
      <c r="X2426" s="5"/>
      <c r="Y2426" s="5"/>
      <c r="Z2426" s="5" t="str">
        <f>HYPERLINK("https://knigipp.ru/api/getInfo/image/d5cdf48d-f009-11e9-a235-ac1f6b442184")</f>
        <v>https://knigipp.ru/api/getInfo/image/d5cdf48d-f009-11e9-a235-ac1f6b442184</v>
      </c>
      <c r="AA2426" s="33">
        <v>12</v>
      </c>
      <c r="AB2426" s="5"/>
      <c r="AC2426" s="5" t="s">
        <v>5296</v>
      </c>
      <c r="AD2426" s="5"/>
      <c r="AE2426" s="5" t="s">
        <v>49</v>
      </c>
      <c r="AF2426" s="5"/>
      <c r="AG2426" s="5" t="s">
        <v>10664</v>
      </c>
      <c r="AH2426" s="5" t="s">
        <v>10665</v>
      </c>
    </row>
    <row r="2427" spans="2:35" ht="22.95" customHeight="1" outlineLevel="2" x14ac:dyDescent="0.2">
      <c r="B2427" s="73" t="s">
        <v>10724</v>
      </c>
      <c r="C2427" s="73"/>
      <c r="D2427" s="73"/>
    </row>
    <row r="2428" spans="2:35" ht="22.95" customHeight="1" outlineLevel="3" x14ac:dyDescent="0.2">
      <c r="B2428" s="74" t="s">
        <v>10725</v>
      </c>
      <c r="C2428" s="74"/>
      <c r="D2428" s="74"/>
    </row>
    <row r="2429" spans="2:35" ht="21" customHeight="1" outlineLevel="4" x14ac:dyDescent="0.2">
      <c r="B2429" s="43">
        <v>1913</v>
      </c>
      <c r="C2429" s="8" t="s">
        <v>10726</v>
      </c>
      <c r="D2429" s="8" t="s">
        <v>10727</v>
      </c>
      <c r="E2429" s="9" t="s">
        <v>10728</v>
      </c>
      <c r="F2429" s="16"/>
      <c r="G2429" s="17"/>
      <c r="H2429" s="18">
        <v>10</v>
      </c>
      <c r="I2429" s="19" t="s">
        <v>41</v>
      </c>
      <c r="J2429" s="19"/>
      <c r="K2429" s="19"/>
      <c r="L2429" s="7">
        <v>2</v>
      </c>
      <c r="M2429" s="21">
        <f>399*(1-P3/100)</f>
        <v>399</v>
      </c>
      <c r="N2429" s="15"/>
      <c r="O2429" s="19">
        <f t="shared" ref="O2429:O2434" si="109">M2429*N2429</f>
        <v>0</v>
      </c>
      <c r="P2429" s="26">
        <f>0.129*N2429</f>
        <v>0</v>
      </c>
      <c r="Q2429" s="27">
        <f>0.00091*N2429</f>
        <v>0</v>
      </c>
      <c r="R2429" s="28" t="s">
        <v>81</v>
      </c>
      <c r="S2429" s="29" t="s">
        <v>10729</v>
      </c>
      <c r="T2429" s="29" t="s">
        <v>43</v>
      </c>
      <c r="U2429" s="8" t="s">
        <v>10730</v>
      </c>
      <c r="V2429" s="8"/>
      <c r="W2429" s="8" t="s">
        <v>46</v>
      </c>
      <c r="X2429" s="8"/>
      <c r="Y2429" s="8"/>
      <c r="Z2429" s="8" t="str">
        <f>HYPERLINK("https://knigipp.ru/api/getInfo/image/a20c1aaf-cc57-11f0-a28a-00155d82e908")</f>
        <v>https://knigipp.ru/api/getInfo/image/a20c1aaf-cc57-11f0-a28a-00155d82e908</v>
      </c>
      <c r="AA2429" s="34">
        <v>8</v>
      </c>
      <c r="AB2429" s="8" t="s">
        <v>47</v>
      </c>
      <c r="AC2429" s="8" t="s">
        <v>86</v>
      </c>
      <c r="AD2429" s="8"/>
      <c r="AE2429" s="8" t="s">
        <v>49</v>
      </c>
      <c r="AF2429" s="8"/>
      <c r="AG2429" s="8"/>
      <c r="AH2429" s="8" t="s">
        <v>10731</v>
      </c>
      <c r="AI2429" s="55"/>
    </row>
    <row r="2430" spans="2:35" ht="21" customHeight="1" outlineLevel="4" x14ac:dyDescent="0.2">
      <c r="B2430" s="42">
        <v>1914</v>
      </c>
      <c r="C2430" s="5" t="s">
        <v>10732</v>
      </c>
      <c r="D2430" s="5" t="s">
        <v>10733</v>
      </c>
      <c r="E2430" s="6" t="s">
        <v>10734</v>
      </c>
      <c r="F2430" s="10"/>
      <c r="G2430" s="11" t="s">
        <v>10735</v>
      </c>
      <c r="H2430" s="12">
        <v>10</v>
      </c>
      <c r="I2430" s="13" t="s">
        <v>41</v>
      </c>
      <c r="J2430" s="13"/>
      <c r="K2430" s="13"/>
      <c r="L2430" s="4">
        <v>2</v>
      </c>
      <c r="M2430" s="14">
        <f>399*(1-P3/100)</f>
        <v>399</v>
      </c>
      <c r="N2430" s="15"/>
      <c r="O2430" s="13">
        <f t="shared" si="109"/>
        <v>0</v>
      </c>
      <c r="P2430" s="22">
        <f>0.126*N2430</f>
        <v>0</v>
      </c>
      <c r="Q2430" s="23">
        <f>0.00063*N2430</f>
        <v>0</v>
      </c>
      <c r="R2430" s="24"/>
      <c r="S2430" s="25" t="s">
        <v>10736</v>
      </c>
      <c r="T2430" s="25" t="s">
        <v>43</v>
      </c>
      <c r="U2430" s="5" t="s">
        <v>10737</v>
      </c>
      <c r="V2430" s="5" t="s">
        <v>10738</v>
      </c>
      <c r="W2430" s="5" t="s">
        <v>46</v>
      </c>
      <c r="X2430" s="5"/>
      <c r="Y2430" s="5"/>
      <c r="Z2430" s="5" t="str">
        <f>HYPERLINK("https://knigipp.ru/api/getInfo/image/b41e6ed8-ae53-11ef-a267-00155d82e908")</f>
        <v>https://knigipp.ru/api/getInfo/image/b41e6ed8-ae53-11ef-a267-00155d82e908</v>
      </c>
      <c r="AA2430" s="33">
        <v>8</v>
      </c>
      <c r="AB2430" s="5"/>
      <c r="AC2430" s="5" t="s">
        <v>86</v>
      </c>
      <c r="AD2430" s="5"/>
      <c r="AE2430" s="5" t="s">
        <v>49</v>
      </c>
      <c r="AF2430" s="5"/>
      <c r="AG2430" s="5"/>
      <c r="AH2430" s="5" t="s">
        <v>10739</v>
      </c>
    </row>
    <row r="2431" spans="2:35" ht="21" customHeight="1" outlineLevel="4" x14ac:dyDescent="0.2">
      <c r="B2431" s="42">
        <v>1915</v>
      </c>
      <c r="C2431" s="5" t="s">
        <v>10740</v>
      </c>
      <c r="D2431" s="5" t="s">
        <v>10741</v>
      </c>
      <c r="E2431" s="6" t="s">
        <v>10742</v>
      </c>
      <c r="F2431" s="10"/>
      <c r="G2431" s="11" t="s">
        <v>10735</v>
      </c>
      <c r="H2431" s="12">
        <v>10</v>
      </c>
      <c r="I2431" s="13" t="s">
        <v>41</v>
      </c>
      <c r="J2431" s="13"/>
      <c r="K2431" s="13"/>
      <c r="L2431" s="4">
        <v>2</v>
      </c>
      <c r="M2431" s="14">
        <f>399*(1-P3/100)</f>
        <v>399</v>
      </c>
      <c r="N2431" s="15"/>
      <c r="O2431" s="13">
        <f t="shared" si="109"/>
        <v>0</v>
      </c>
      <c r="P2431" s="22">
        <f>0.126*N2431</f>
        <v>0</v>
      </c>
      <c r="Q2431" s="23">
        <f>0.00085*N2431</f>
        <v>0</v>
      </c>
      <c r="R2431" s="24"/>
      <c r="S2431" s="25" t="s">
        <v>10743</v>
      </c>
      <c r="T2431" s="25" t="s">
        <v>43</v>
      </c>
      <c r="U2431" s="5" t="s">
        <v>10737</v>
      </c>
      <c r="V2431" s="5" t="s">
        <v>10744</v>
      </c>
      <c r="W2431" s="5" t="s">
        <v>46</v>
      </c>
      <c r="X2431" s="5"/>
      <c r="Y2431" s="5"/>
      <c r="Z2431" s="5" t="str">
        <f>HYPERLINK("https://knigipp.ru/api/getInfo/image/3e36fc10-ae54-11ef-a267-00155d82e908")</f>
        <v>https://knigipp.ru/api/getInfo/image/3e36fc10-ae54-11ef-a267-00155d82e908</v>
      </c>
      <c r="AA2431" s="33">
        <v>8</v>
      </c>
      <c r="AB2431" s="5" t="s">
        <v>47</v>
      </c>
      <c r="AC2431" s="5" t="s">
        <v>86</v>
      </c>
      <c r="AD2431" s="5"/>
      <c r="AE2431" s="5" t="s">
        <v>49</v>
      </c>
      <c r="AF2431" s="5"/>
      <c r="AG2431" s="5"/>
      <c r="AH2431" s="5" t="s">
        <v>10739</v>
      </c>
    </row>
    <row r="2432" spans="2:35" ht="21" customHeight="1" outlineLevel="4" x14ac:dyDescent="0.2">
      <c r="B2432" s="43">
        <v>1916</v>
      </c>
      <c r="C2432" s="8" t="s">
        <v>10745</v>
      </c>
      <c r="D2432" s="8" t="s">
        <v>10746</v>
      </c>
      <c r="E2432" s="9" t="s">
        <v>10747</v>
      </c>
      <c r="F2432" s="16"/>
      <c r="G2432" s="17"/>
      <c r="H2432" s="18">
        <v>10</v>
      </c>
      <c r="I2432" s="19" t="s">
        <v>41</v>
      </c>
      <c r="J2432" s="19"/>
      <c r="K2432" s="19"/>
      <c r="L2432" s="7">
        <v>2</v>
      </c>
      <c r="M2432" s="21">
        <f>399*(1-P3/100)</f>
        <v>399</v>
      </c>
      <c r="N2432" s="15"/>
      <c r="O2432" s="19">
        <f t="shared" si="109"/>
        <v>0</v>
      </c>
      <c r="P2432" s="26">
        <f>0.134*N2432</f>
        <v>0</v>
      </c>
      <c r="Q2432" s="31">
        <f>0.0015*N2432</f>
        <v>0</v>
      </c>
      <c r="R2432" s="28" t="s">
        <v>81</v>
      </c>
      <c r="S2432" s="29" t="s">
        <v>10748</v>
      </c>
      <c r="T2432" s="29" t="s">
        <v>43</v>
      </c>
      <c r="U2432" s="8" t="s">
        <v>10730</v>
      </c>
      <c r="V2432" s="8"/>
      <c r="W2432" s="8" t="s">
        <v>46</v>
      </c>
      <c r="X2432" s="8"/>
      <c r="Y2432" s="8"/>
      <c r="Z2432" s="8" t="str">
        <f>HYPERLINK("https://knigipp.ru/api/getInfo/image/cf7b7f38-cc57-11f0-a28a-00155d82e908")</f>
        <v>https://knigipp.ru/api/getInfo/image/cf7b7f38-cc57-11f0-a28a-00155d82e908</v>
      </c>
      <c r="AA2432" s="34">
        <v>8</v>
      </c>
      <c r="AB2432" s="8" t="s">
        <v>47</v>
      </c>
      <c r="AC2432" s="8" t="s">
        <v>86</v>
      </c>
      <c r="AD2432" s="8"/>
      <c r="AE2432" s="8" t="s">
        <v>49</v>
      </c>
      <c r="AF2432" s="8"/>
      <c r="AG2432" s="8"/>
      <c r="AH2432" s="8" t="s">
        <v>10731</v>
      </c>
      <c r="AI2432" s="55"/>
    </row>
    <row r="2433" spans="2:34" ht="21" customHeight="1" outlineLevel="4" x14ac:dyDescent="0.2">
      <c r="B2433" s="42">
        <v>1917</v>
      </c>
      <c r="C2433" s="5" t="s">
        <v>10749</v>
      </c>
      <c r="D2433" s="5" t="s">
        <v>10750</v>
      </c>
      <c r="E2433" s="6" t="s">
        <v>10751</v>
      </c>
      <c r="F2433" s="10"/>
      <c r="G2433" s="11" t="s">
        <v>10735</v>
      </c>
      <c r="H2433" s="12">
        <v>10</v>
      </c>
      <c r="I2433" s="13" t="s">
        <v>41</v>
      </c>
      <c r="J2433" s="13"/>
      <c r="K2433" s="13"/>
      <c r="L2433" s="4">
        <v>2</v>
      </c>
      <c r="M2433" s="14">
        <f>399*(1-P3/100)</f>
        <v>399</v>
      </c>
      <c r="N2433" s="15"/>
      <c r="O2433" s="13">
        <f t="shared" si="109"/>
        <v>0</v>
      </c>
      <c r="P2433" s="22">
        <f>0.127*N2433</f>
        <v>0</v>
      </c>
      <c r="Q2433" s="30">
        <f>0.0008*N2433</f>
        <v>0</v>
      </c>
      <c r="R2433" s="24"/>
      <c r="S2433" s="25" t="s">
        <v>10752</v>
      </c>
      <c r="T2433" s="25" t="s">
        <v>43</v>
      </c>
      <c r="U2433" s="5" t="s">
        <v>10753</v>
      </c>
      <c r="V2433" s="5" t="s">
        <v>10754</v>
      </c>
      <c r="W2433" s="5" t="s">
        <v>46</v>
      </c>
      <c r="X2433" s="5"/>
      <c r="Y2433" s="5"/>
      <c r="Z2433" s="5" t="str">
        <f>HYPERLINK("https://knigipp.ru/api/getInfo/image/8db12f27-ae54-11ef-a267-00155d82e908")</f>
        <v>https://knigipp.ru/api/getInfo/image/8db12f27-ae54-11ef-a267-00155d82e908</v>
      </c>
      <c r="AA2433" s="33">
        <v>8</v>
      </c>
      <c r="AB2433" s="5"/>
      <c r="AC2433" s="5" t="s">
        <v>86</v>
      </c>
      <c r="AD2433" s="5"/>
      <c r="AE2433" s="5" t="s">
        <v>49</v>
      </c>
      <c r="AF2433" s="5"/>
      <c r="AG2433" s="5"/>
      <c r="AH2433" s="5" t="s">
        <v>10739</v>
      </c>
    </row>
    <row r="2434" spans="2:34" ht="21" customHeight="1" outlineLevel="4" x14ac:dyDescent="0.2">
      <c r="B2434" s="42">
        <v>1918</v>
      </c>
      <c r="C2434" s="5" t="s">
        <v>10755</v>
      </c>
      <c r="D2434" s="5" t="s">
        <v>10756</v>
      </c>
      <c r="E2434" s="6" t="s">
        <v>10757</v>
      </c>
      <c r="F2434" s="10"/>
      <c r="G2434" s="11" t="s">
        <v>10735</v>
      </c>
      <c r="H2434" s="12">
        <v>10</v>
      </c>
      <c r="I2434" s="13" t="s">
        <v>41</v>
      </c>
      <c r="J2434" s="13"/>
      <c r="K2434" s="13"/>
      <c r="L2434" s="4">
        <v>2</v>
      </c>
      <c r="M2434" s="14">
        <f>399*(1-P3/100)</f>
        <v>399</v>
      </c>
      <c r="N2434" s="15"/>
      <c r="O2434" s="13">
        <f t="shared" si="109"/>
        <v>0</v>
      </c>
      <c r="P2434" s="22">
        <f>0.126*N2434</f>
        <v>0</v>
      </c>
      <c r="Q2434" s="23">
        <f>0.00063*N2434</f>
        <v>0</v>
      </c>
      <c r="R2434" s="24"/>
      <c r="S2434" s="25" t="s">
        <v>10758</v>
      </c>
      <c r="T2434" s="25" t="s">
        <v>43</v>
      </c>
      <c r="U2434" s="5" t="s">
        <v>10759</v>
      </c>
      <c r="V2434" s="5" t="s">
        <v>10760</v>
      </c>
      <c r="W2434" s="5" t="s">
        <v>46</v>
      </c>
      <c r="X2434" s="5"/>
      <c r="Y2434" s="5"/>
      <c r="Z2434" s="5" t="str">
        <f>HYPERLINK("https://knigipp.ru/api/getInfo/image/aeaed352-ae54-11ef-a267-00155d82e908")</f>
        <v>https://knigipp.ru/api/getInfo/image/aeaed352-ae54-11ef-a267-00155d82e908</v>
      </c>
      <c r="AA2434" s="33">
        <v>8</v>
      </c>
      <c r="AB2434" s="5" t="s">
        <v>47</v>
      </c>
      <c r="AC2434" s="5" t="s">
        <v>86</v>
      </c>
      <c r="AD2434" s="5"/>
      <c r="AE2434" s="5" t="s">
        <v>49</v>
      </c>
      <c r="AF2434" s="5"/>
      <c r="AG2434" s="5"/>
      <c r="AH2434" s="5" t="s">
        <v>10739</v>
      </c>
    </row>
    <row r="2435" spans="2:34" ht="22.95" customHeight="1" outlineLevel="3" x14ac:dyDescent="0.2">
      <c r="B2435" s="74" t="s">
        <v>10761</v>
      </c>
      <c r="C2435" s="74"/>
      <c r="D2435" s="74"/>
    </row>
    <row r="2436" spans="2:34" ht="21" customHeight="1" outlineLevel="4" x14ac:dyDescent="0.2">
      <c r="B2436" s="42">
        <v>1919</v>
      </c>
      <c r="C2436" s="5" t="s">
        <v>10762</v>
      </c>
      <c r="D2436" s="5" t="s">
        <v>10763</v>
      </c>
      <c r="E2436" s="6" t="s">
        <v>10764</v>
      </c>
      <c r="F2436" s="10"/>
      <c r="G2436" s="11" t="s">
        <v>10765</v>
      </c>
      <c r="H2436" s="12">
        <v>10</v>
      </c>
      <c r="I2436" s="13" t="s">
        <v>41</v>
      </c>
      <c r="J2436" s="13"/>
      <c r="K2436" s="13"/>
      <c r="L2436" s="4">
        <v>2</v>
      </c>
      <c r="M2436" s="14">
        <f>349*(1-P3/100)</f>
        <v>349</v>
      </c>
      <c r="N2436" s="15"/>
      <c r="O2436" s="13">
        <f t="shared" ref="O2436:O2442" si="110">M2436*N2436</f>
        <v>0</v>
      </c>
      <c r="P2436" s="22">
        <f>0.316*N2436</f>
        <v>0</v>
      </c>
      <c r="Q2436" s="23">
        <f>0.00072*N2436</f>
        <v>0</v>
      </c>
      <c r="R2436" s="24"/>
      <c r="S2436" s="25" t="s">
        <v>10766</v>
      </c>
      <c r="T2436" s="25" t="s">
        <v>43</v>
      </c>
      <c r="U2436" s="5"/>
      <c r="V2436" s="5"/>
      <c r="W2436" s="5" t="s">
        <v>46</v>
      </c>
      <c r="X2436" s="5"/>
      <c r="Y2436" s="5"/>
      <c r="Z2436" s="5" t="str">
        <f>HYPERLINK("https://knigipp.ru/api/getInfo/image/9a4ff6f8-9e96-11eb-a201-ac1f6b442185")</f>
        <v>https://knigipp.ru/api/getInfo/image/9a4ff6f8-9e96-11eb-a201-ac1f6b442185</v>
      </c>
      <c r="AA2436" s="33">
        <v>8</v>
      </c>
      <c r="AB2436" s="5"/>
      <c r="AC2436" s="5" t="s">
        <v>86</v>
      </c>
      <c r="AD2436" s="5"/>
      <c r="AE2436" s="5" t="s">
        <v>49</v>
      </c>
      <c r="AF2436" s="5"/>
      <c r="AG2436" s="5"/>
      <c r="AH2436" s="5" t="s">
        <v>10767</v>
      </c>
    </row>
    <row r="2437" spans="2:34" ht="21" customHeight="1" outlineLevel="4" x14ac:dyDescent="0.2">
      <c r="B2437" s="42">
        <v>1920</v>
      </c>
      <c r="C2437" s="5" t="s">
        <v>10768</v>
      </c>
      <c r="D2437" s="5" t="s">
        <v>10769</v>
      </c>
      <c r="E2437" s="6" t="s">
        <v>10770</v>
      </c>
      <c r="F2437" s="10"/>
      <c r="G2437" s="11" t="s">
        <v>10771</v>
      </c>
      <c r="H2437" s="12">
        <v>10</v>
      </c>
      <c r="I2437" s="13" t="s">
        <v>371</v>
      </c>
      <c r="J2437" s="13"/>
      <c r="K2437" s="13"/>
      <c r="L2437" s="4">
        <v>2</v>
      </c>
      <c r="M2437" s="14">
        <f>437*(1-P3/100)</f>
        <v>437</v>
      </c>
      <c r="N2437" s="15"/>
      <c r="O2437" s="13">
        <f t="shared" si="110"/>
        <v>0</v>
      </c>
      <c r="P2437" s="22">
        <f>0.316*N2437</f>
        <v>0</v>
      </c>
      <c r="Q2437" s="23">
        <f>0.00072*N2437</f>
        <v>0</v>
      </c>
      <c r="R2437" s="24"/>
      <c r="S2437" s="25" t="s">
        <v>10772</v>
      </c>
      <c r="T2437" s="25" t="s">
        <v>43</v>
      </c>
      <c r="U2437" s="5" t="s">
        <v>157</v>
      </c>
      <c r="V2437" s="5" t="s">
        <v>10773</v>
      </c>
      <c r="W2437" s="5" t="s">
        <v>46</v>
      </c>
      <c r="X2437" s="5"/>
      <c r="Y2437" s="5"/>
      <c r="Z2437" s="5" t="str">
        <f>HYPERLINK("https://knigipp.ru/api/getInfo/image/73d19de5-fa2d-11e8-a215-ac1f6b442184")</f>
        <v>https://knigipp.ru/api/getInfo/image/73d19de5-fa2d-11e8-a215-ac1f6b442184</v>
      </c>
      <c r="AA2437" s="33">
        <v>8</v>
      </c>
      <c r="AB2437" s="5"/>
      <c r="AC2437" s="5" t="s">
        <v>86</v>
      </c>
      <c r="AD2437" s="5"/>
      <c r="AE2437" s="5" t="s">
        <v>49</v>
      </c>
      <c r="AF2437" s="5"/>
      <c r="AG2437" s="5" t="s">
        <v>10774</v>
      </c>
      <c r="AH2437" s="5" t="s">
        <v>10767</v>
      </c>
    </row>
    <row r="2438" spans="2:34" ht="21" customHeight="1" outlineLevel="4" x14ac:dyDescent="0.2">
      <c r="B2438" s="42">
        <v>1921</v>
      </c>
      <c r="C2438" s="5" t="s">
        <v>10775</v>
      </c>
      <c r="D2438" s="5" t="s">
        <v>10776</v>
      </c>
      <c r="E2438" s="6" t="s">
        <v>10777</v>
      </c>
      <c r="F2438" s="10"/>
      <c r="G2438" s="11" t="s">
        <v>10771</v>
      </c>
      <c r="H2438" s="12">
        <v>10</v>
      </c>
      <c r="I2438" s="13" t="s">
        <v>41</v>
      </c>
      <c r="J2438" s="13"/>
      <c r="K2438" s="13"/>
      <c r="L2438" s="4">
        <v>2</v>
      </c>
      <c r="M2438" s="14">
        <f>349*(1-P3/100)</f>
        <v>349</v>
      </c>
      <c r="N2438" s="15"/>
      <c r="O2438" s="13">
        <f t="shared" si="110"/>
        <v>0</v>
      </c>
      <c r="P2438" s="22">
        <f>0.265*N2438</f>
        <v>0</v>
      </c>
      <c r="Q2438" s="23">
        <f>0.00137*N2438</f>
        <v>0</v>
      </c>
      <c r="R2438" s="24"/>
      <c r="S2438" s="25" t="s">
        <v>10778</v>
      </c>
      <c r="T2438" s="25" t="s">
        <v>43</v>
      </c>
      <c r="U2438" s="5" t="s">
        <v>157</v>
      </c>
      <c r="V2438" s="5"/>
      <c r="W2438" s="5" t="s">
        <v>46</v>
      </c>
      <c r="X2438" s="5"/>
      <c r="Y2438" s="5"/>
      <c r="Z2438" s="5" t="str">
        <f>HYPERLINK("https://knigipp.ru/api/getInfo/image/62304acf-fa2d-11e8-a215-ac1f6b442184")</f>
        <v>https://knigipp.ru/api/getInfo/image/62304acf-fa2d-11e8-a215-ac1f6b442184</v>
      </c>
      <c r="AA2438" s="33">
        <v>8</v>
      </c>
      <c r="AB2438" s="5"/>
      <c r="AC2438" s="5" t="s">
        <v>86</v>
      </c>
      <c r="AD2438" s="5"/>
      <c r="AE2438" s="5" t="s">
        <v>49</v>
      </c>
      <c r="AF2438" s="5"/>
      <c r="AG2438" s="5" t="s">
        <v>10774</v>
      </c>
      <c r="AH2438" s="5" t="s">
        <v>10767</v>
      </c>
    </row>
    <row r="2439" spans="2:34" ht="21" customHeight="1" outlineLevel="4" x14ac:dyDescent="0.2">
      <c r="B2439" s="42">
        <v>1922</v>
      </c>
      <c r="C2439" s="5" t="s">
        <v>10779</v>
      </c>
      <c r="D2439" s="5" t="s">
        <v>10780</v>
      </c>
      <c r="E2439" s="6" t="s">
        <v>10781</v>
      </c>
      <c r="F2439" s="10"/>
      <c r="G2439" s="11" t="s">
        <v>10771</v>
      </c>
      <c r="H2439" s="12">
        <v>10</v>
      </c>
      <c r="I2439" s="13" t="s">
        <v>261</v>
      </c>
      <c r="J2439" s="13"/>
      <c r="K2439" s="13"/>
      <c r="L2439" s="4">
        <v>2</v>
      </c>
      <c r="M2439" s="14">
        <f>349*(1-P3/100)</f>
        <v>349</v>
      </c>
      <c r="N2439" s="15"/>
      <c r="O2439" s="13">
        <f t="shared" si="110"/>
        <v>0</v>
      </c>
      <c r="P2439" s="22">
        <f>0.316*N2439</f>
        <v>0</v>
      </c>
      <c r="Q2439" s="23">
        <f>0.00072*N2439</f>
        <v>0</v>
      </c>
      <c r="R2439" s="24"/>
      <c r="S2439" s="25" t="s">
        <v>10782</v>
      </c>
      <c r="T2439" s="25" t="s">
        <v>43</v>
      </c>
      <c r="U2439" s="5"/>
      <c r="V2439" s="5"/>
      <c r="W2439" s="5" t="s">
        <v>46</v>
      </c>
      <c r="X2439" s="5"/>
      <c r="Y2439" s="5"/>
      <c r="Z2439" s="5" t="str">
        <f>HYPERLINK("https://knigipp.ru/api/getInfo/image/5a1f8e25-9999-11e9-a227-ac1f6b442184")</f>
        <v>https://knigipp.ru/api/getInfo/image/5a1f8e25-9999-11e9-a227-ac1f6b442184</v>
      </c>
      <c r="AA2439" s="33">
        <v>8</v>
      </c>
      <c r="AB2439" s="5"/>
      <c r="AC2439" s="5" t="s">
        <v>86</v>
      </c>
      <c r="AD2439" s="5"/>
      <c r="AE2439" s="5" t="s">
        <v>49</v>
      </c>
      <c r="AF2439" s="5"/>
      <c r="AG2439" s="5"/>
      <c r="AH2439" s="5" t="s">
        <v>10767</v>
      </c>
    </row>
    <row r="2440" spans="2:34" ht="21" customHeight="1" outlineLevel="4" x14ac:dyDescent="0.2">
      <c r="B2440" s="42">
        <v>1923</v>
      </c>
      <c r="C2440" s="5" t="s">
        <v>10783</v>
      </c>
      <c r="D2440" s="5" t="s">
        <v>10784</v>
      </c>
      <c r="E2440" s="6" t="s">
        <v>10785</v>
      </c>
      <c r="F2440" s="10"/>
      <c r="G2440" s="11" t="s">
        <v>10765</v>
      </c>
      <c r="H2440" s="12">
        <v>10</v>
      </c>
      <c r="I2440" s="13" t="s">
        <v>41</v>
      </c>
      <c r="J2440" s="13"/>
      <c r="K2440" s="13"/>
      <c r="L2440" s="4">
        <v>2</v>
      </c>
      <c r="M2440" s="14">
        <f>437*(1-P3/100)</f>
        <v>437</v>
      </c>
      <c r="N2440" s="15"/>
      <c r="O2440" s="13">
        <f t="shared" si="110"/>
        <v>0</v>
      </c>
      <c r="P2440" s="22">
        <f>0.316*N2440</f>
        <v>0</v>
      </c>
      <c r="Q2440" s="23">
        <f>0.00072*N2440</f>
        <v>0</v>
      </c>
      <c r="R2440" s="24"/>
      <c r="S2440" s="25" t="s">
        <v>10786</v>
      </c>
      <c r="T2440" s="25" t="s">
        <v>43</v>
      </c>
      <c r="U2440" s="5" t="s">
        <v>4057</v>
      </c>
      <c r="V2440" s="5" t="s">
        <v>10787</v>
      </c>
      <c r="W2440" s="5" t="s">
        <v>46</v>
      </c>
      <c r="X2440" s="5"/>
      <c r="Y2440" s="5"/>
      <c r="Z2440" s="5" t="str">
        <f>HYPERLINK("https://knigipp.ru/api/getInfo/image/bc8ef532-9e96-11eb-a201-ac1f6b442185")</f>
        <v>https://knigipp.ru/api/getInfo/image/bc8ef532-9e96-11eb-a201-ac1f6b442185</v>
      </c>
      <c r="AA2440" s="33">
        <v>8</v>
      </c>
      <c r="AB2440" s="5"/>
      <c r="AC2440" s="5" t="s">
        <v>86</v>
      </c>
      <c r="AD2440" s="5"/>
      <c r="AE2440" s="5" t="s">
        <v>49</v>
      </c>
      <c r="AF2440" s="5"/>
      <c r="AG2440" s="5"/>
      <c r="AH2440" s="5" t="s">
        <v>10767</v>
      </c>
    </row>
    <row r="2441" spans="2:34" ht="21" customHeight="1" outlineLevel="4" x14ac:dyDescent="0.2">
      <c r="B2441" s="42">
        <v>1924</v>
      </c>
      <c r="C2441" s="5" t="s">
        <v>10788</v>
      </c>
      <c r="D2441" s="5" t="s">
        <v>10789</v>
      </c>
      <c r="E2441" s="6" t="s">
        <v>10790</v>
      </c>
      <c r="F2441" s="10"/>
      <c r="G2441" s="11" t="s">
        <v>10791</v>
      </c>
      <c r="H2441" s="12">
        <v>10</v>
      </c>
      <c r="I2441" s="13" t="s">
        <v>41</v>
      </c>
      <c r="J2441" s="13"/>
      <c r="K2441" s="13"/>
      <c r="L2441" s="4">
        <v>2</v>
      </c>
      <c r="M2441" s="14">
        <f>349*(1-P3/100)</f>
        <v>349</v>
      </c>
      <c r="N2441" s="15"/>
      <c r="O2441" s="13">
        <f t="shared" si="110"/>
        <v>0</v>
      </c>
      <c r="P2441" s="22">
        <f>0.238*N2441</f>
        <v>0</v>
      </c>
      <c r="Q2441" s="23">
        <f>0.00088*N2441</f>
        <v>0</v>
      </c>
      <c r="R2441" s="24"/>
      <c r="S2441" s="25" t="s">
        <v>10792</v>
      </c>
      <c r="T2441" s="25" t="s">
        <v>43</v>
      </c>
      <c r="U2441" s="5"/>
      <c r="V2441" s="5" t="s">
        <v>10793</v>
      </c>
      <c r="W2441" s="5" t="s">
        <v>46</v>
      </c>
      <c r="X2441" s="5"/>
      <c r="Y2441" s="5"/>
      <c r="Z2441" s="5" t="str">
        <f>HYPERLINK("https://knigipp.ru/api/getInfo/image/4dccb694-c7c9-11ec-a212-ac1f6b442185")</f>
        <v>https://knigipp.ru/api/getInfo/image/4dccb694-c7c9-11ec-a212-ac1f6b442185</v>
      </c>
      <c r="AA2441" s="33">
        <v>8</v>
      </c>
      <c r="AB2441" s="5"/>
      <c r="AC2441" s="5" t="s">
        <v>86</v>
      </c>
      <c r="AD2441" s="5"/>
      <c r="AE2441" s="5" t="s">
        <v>49</v>
      </c>
      <c r="AF2441" s="5"/>
      <c r="AG2441" s="5"/>
      <c r="AH2441" s="5" t="s">
        <v>10767</v>
      </c>
    </row>
    <row r="2442" spans="2:34" ht="21" customHeight="1" outlineLevel="4" x14ac:dyDescent="0.2">
      <c r="B2442" s="42">
        <v>1925</v>
      </c>
      <c r="C2442" s="5" t="s">
        <v>10794</v>
      </c>
      <c r="D2442" s="5" t="s">
        <v>10795</v>
      </c>
      <c r="E2442" s="6" t="s">
        <v>10796</v>
      </c>
      <c r="F2442" s="10"/>
      <c r="G2442" s="11" t="s">
        <v>10797</v>
      </c>
      <c r="H2442" s="12">
        <v>10</v>
      </c>
      <c r="I2442" s="13" t="s">
        <v>41</v>
      </c>
      <c r="J2442" s="13"/>
      <c r="K2442" s="13"/>
      <c r="L2442" s="4">
        <v>2</v>
      </c>
      <c r="M2442" s="14">
        <f>437*(1-P3/100)</f>
        <v>437</v>
      </c>
      <c r="N2442" s="15"/>
      <c r="O2442" s="13">
        <f t="shared" si="110"/>
        <v>0</v>
      </c>
      <c r="P2442" s="13">
        <v>0</v>
      </c>
      <c r="Q2442" s="13">
        <v>0</v>
      </c>
      <c r="R2442" s="24"/>
      <c r="S2442" s="25" t="s">
        <v>10798</v>
      </c>
      <c r="T2442" s="25" t="s">
        <v>43</v>
      </c>
      <c r="U2442" s="5"/>
      <c r="V2442" s="5"/>
      <c r="W2442" s="5" t="s">
        <v>46</v>
      </c>
      <c r="X2442" s="5"/>
      <c r="Y2442" s="5"/>
      <c r="Z2442" s="5" t="str">
        <f>HYPERLINK("https://knigipp.ru/api/getInfo/image/f0561254-4a0a-11ed-a216-ac1f6b442185")</f>
        <v>https://knigipp.ru/api/getInfo/image/f0561254-4a0a-11ed-a216-ac1f6b442185</v>
      </c>
      <c r="AA2442" s="33">
        <v>8</v>
      </c>
      <c r="AB2442" s="5" t="s">
        <v>47</v>
      </c>
      <c r="AC2442" s="5" t="s">
        <v>86</v>
      </c>
      <c r="AD2442" s="5"/>
      <c r="AE2442" s="5" t="s">
        <v>49</v>
      </c>
      <c r="AF2442" s="5"/>
      <c r="AG2442" s="5"/>
      <c r="AH2442" s="5" t="s">
        <v>10767</v>
      </c>
    </row>
    <row r="2443" spans="2:34" ht="22.95" customHeight="1" outlineLevel="3" x14ac:dyDescent="0.2">
      <c r="B2443" s="74" t="s">
        <v>10799</v>
      </c>
      <c r="C2443" s="74"/>
      <c r="D2443" s="74"/>
    </row>
    <row r="2444" spans="2:34" ht="21" customHeight="1" outlineLevel="4" x14ac:dyDescent="0.2">
      <c r="B2444" s="42">
        <v>1926</v>
      </c>
      <c r="C2444" s="5" t="s">
        <v>10800</v>
      </c>
      <c r="D2444" s="5" t="s">
        <v>10801</v>
      </c>
      <c r="E2444" s="6" t="s">
        <v>10802</v>
      </c>
      <c r="F2444" s="10"/>
      <c r="G2444" s="11" t="s">
        <v>10803</v>
      </c>
      <c r="H2444" s="12">
        <v>6</v>
      </c>
      <c r="I2444" s="13" t="s">
        <v>41</v>
      </c>
      <c r="J2444" s="13"/>
      <c r="K2444" s="13"/>
      <c r="L2444" s="4">
        <v>1</v>
      </c>
      <c r="M2444" s="14">
        <f>687*(1-P3/100)</f>
        <v>687</v>
      </c>
      <c r="N2444" s="15"/>
      <c r="O2444" s="13">
        <f>M2444*N2444</f>
        <v>0</v>
      </c>
      <c r="P2444" s="22">
        <f>0.394*N2444</f>
        <v>0</v>
      </c>
      <c r="Q2444" s="23">
        <f>0.00224*N2444</f>
        <v>0</v>
      </c>
      <c r="R2444" s="24"/>
      <c r="S2444" s="25" t="s">
        <v>10804</v>
      </c>
      <c r="T2444" s="25" t="s">
        <v>43</v>
      </c>
      <c r="U2444" s="5" t="s">
        <v>10805</v>
      </c>
      <c r="V2444" s="5" t="s">
        <v>10806</v>
      </c>
      <c r="W2444" s="5" t="s">
        <v>46</v>
      </c>
      <c r="X2444" s="5"/>
      <c r="Y2444" s="5"/>
      <c r="Z2444" s="5" t="str">
        <f>HYPERLINK("https://knigipp.ru/api/getInfo/image/de451012-25c7-11f0-a279-00155d82e908")</f>
        <v>https://knigipp.ru/api/getInfo/image/de451012-25c7-11f0-a279-00155d82e908</v>
      </c>
      <c r="AA2444" s="33">
        <v>32</v>
      </c>
      <c r="AB2444" s="5" t="s">
        <v>47</v>
      </c>
      <c r="AC2444" s="5" t="s">
        <v>86</v>
      </c>
      <c r="AD2444" s="5"/>
      <c r="AE2444" s="5" t="s">
        <v>49</v>
      </c>
      <c r="AF2444" s="5"/>
      <c r="AG2444" s="5"/>
      <c r="AH2444" s="5" t="s">
        <v>10807</v>
      </c>
    </row>
    <row r="2445" spans="2:34" ht="21" customHeight="1" outlineLevel="4" x14ac:dyDescent="0.2">
      <c r="B2445" s="42">
        <v>1927</v>
      </c>
      <c r="C2445" s="5" t="s">
        <v>10808</v>
      </c>
      <c r="D2445" s="5" t="s">
        <v>10809</v>
      </c>
      <c r="E2445" s="6" t="s">
        <v>10810</v>
      </c>
      <c r="F2445" s="10"/>
      <c r="G2445" s="11" t="s">
        <v>10811</v>
      </c>
      <c r="H2445" s="12">
        <v>6</v>
      </c>
      <c r="I2445" s="13" t="s">
        <v>41</v>
      </c>
      <c r="J2445" s="13"/>
      <c r="K2445" s="13"/>
      <c r="L2445" s="4">
        <v>1</v>
      </c>
      <c r="M2445" s="14">
        <f>687*(1-P3/100)</f>
        <v>687</v>
      </c>
      <c r="N2445" s="15"/>
      <c r="O2445" s="13">
        <f>M2445*N2445</f>
        <v>0</v>
      </c>
      <c r="P2445" s="22">
        <f>0.398*N2445</f>
        <v>0</v>
      </c>
      <c r="Q2445" s="23">
        <f>0.00253*N2445</f>
        <v>0</v>
      </c>
      <c r="R2445" s="24"/>
      <c r="S2445" s="25" t="s">
        <v>10812</v>
      </c>
      <c r="T2445" s="25" t="s">
        <v>43</v>
      </c>
      <c r="U2445" s="5" t="s">
        <v>4057</v>
      </c>
      <c r="V2445" s="5" t="s">
        <v>10813</v>
      </c>
      <c r="W2445" s="5" t="s">
        <v>46</v>
      </c>
      <c r="X2445" s="5"/>
      <c r="Y2445" s="5"/>
      <c r="Z2445" s="5" t="str">
        <f>HYPERLINK("https://knigipp.ru/api/getInfo/image/955be91c-55a7-11f0-a27e-00155d82e908")</f>
        <v>https://knigipp.ru/api/getInfo/image/955be91c-55a7-11f0-a27e-00155d82e908</v>
      </c>
      <c r="AA2445" s="33">
        <v>32</v>
      </c>
      <c r="AB2445" s="5" t="s">
        <v>47</v>
      </c>
      <c r="AC2445" s="5" t="s">
        <v>86</v>
      </c>
      <c r="AD2445" s="5"/>
      <c r="AE2445" s="5" t="s">
        <v>49</v>
      </c>
      <c r="AF2445" s="5"/>
      <c r="AG2445" s="5"/>
      <c r="AH2445" s="5" t="s">
        <v>10807</v>
      </c>
    </row>
    <row r="2446" spans="2:34" ht="21" customHeight="1" outlineLevel="4" x14ac:dyDescent="0.2">
      <c r="B2446" s="42">
        <v>1928</v>
      </c>
      <c r="C2446" s="5" t="s">
        <v>10814</v>
      </c>
      <c r="D2446" s="5" t="s">
        <v>10815</v>
      </c>
      <c r="E2446" s="6" t="s">
        <v>10816</v>
      </c>
      <c r="F2446" s="10"/>
      <c r="G2446" s="11" t="s">
        <v>10817</v>
      </c>
      <c r="H2446" s="12">
        <v>6</v>
      </c>
      <c r="I2446" s="13" t="s">
        <v>41</v>
      </c>
      <c r="J2446" s="13"/>
      <c r="K2446" s="13"/>
      <c r="L2446" s="4">
        <v>1</v>
      </c>
      <c r="M2446" s="14">
        <f>687*(1-P3/100)</f>
        <v>687</v>
      </c>
      <c r="N2446" s="15"/>
      <c r="O2446" s="13">
        <f>M2446*N2446</f>
        <v>0</v>
      </c>
      <c r="P2446" s="22">
        <f>0.401*N2446</f>
        <v>0</v>
      </c>
      <c r="Q2446" s="30">
        <f>0.0022*N2446</f>
        <v>0</v>
      </c>
      <c r="R2446" s="24"/>
      <c r="S2446" s="25" t="s">
        <v>10818</v>
      </c>
      <c r="T2446" s="25" t="s">
        <v>43</v>
      </c>
      <c r="U2446" s="5" t="s">
        <v>4057</v>
      </c>
      <c r="V2446" s="5"/>
      <c r="W2446" s="5" t="s">
        <v>46</v>
      </c>
      <c r="X2446" s="5"/>
      <c r="Y2446" s="5"/>
      <c r="Z2446" s="5" t="str">
        <f>HYPERLINK("https://knigipp.ru/api/getInfo/image/d7255add-4a0d-11ed-a216-ac1f6b442185")</f>
        <v>https://knigipp.ru/api/getInfo/image/d7255add-4a0d-11ed-a216-ac1f6b442185</v>
      </c>
      <c r="AA2446" s="33">
        <v>32</v>
      </c>
      <c r="AB2446" s="5" t="s">
        <v>47</v>
      </c>
      <c r="AC2446" s="5" t="s">
        <v>86</v>
      </c>
      <c r="AD2446" s="5"/>
      <c r="AE2446" s="5" t="s">
        <v>49</v>
      </c>
      <c r="AF2446" s="5"/>
      <c r="AG2446" s="5"/>
      <c r="AH2446" s="5" t="s">
        <v>10807</v>
      </c>
    </row>
    <row r="2447" spans="2:34" ht="21" customHeight="1" outlineLevel="4" x14ac:dyDescent="0.2">
      <c r="B2447" s="42">
        <v>1929</v>
      </c>
      <c r="C2447" s="5" t="s">
        <v>10819</v>
      </c>
      <c r="D2447" s="5" t="s">
        <v>10820</v>
      </c>
      <c r="E2447" s="6" t="s">
        <v>10821</v>
      </c>
      <c r="F2447" s="10"/>
      <c r="G2447" s="11" t="s">
        <v>10822</v>
      </c>
      <c r="H2447" s="12">
        <v>6</v>
      </c>
      <c r="I2447" s="13" t="s">
        <v>41</v>
      </c>
      <c r="J2447" s="13"/>
      <c r="K2447" s="13"/>
      <c r="L2447" s="4">
        <v>1</v>
      </c>
      <c r="M2447" s="14">
        <f>687*(1-P3/100)</f>
        <v>687</v>
      </c>
      <c r="N2447" s="15"/>
      <c r="O2447" s="13">
        <f>M2447*N2447</f>
        <v>0</v>
      </c>
      <c r="P2447" s="22">
        <f>2.576*N2447</f>
        <v>0</v>
      </c>
      <c r="Q2447" s="23">
        <f>0.01424*N2447</f>
        <v>0</v>
      </c>
      <c r="R2447" s="24"/>
      <c r="S2447" s="25" t="s">
        <v>10823</v>
      </c>
      <c r="T2447" s="25" t="s">
        <v>43</v>
      </c>
      <c r="U2447" s="5"/>
      <c r="V2447" s="5"/>
      <c r="W2447" s="5" t="s">
        <v>46</v>
      </c>
      <c r="X2447" s="5"/>
      <c r="Y2447" s="5"/>
      <c r="Z2447" s="5" t="str">
        <f>HYPERLINK("https://knigipp.ru/api/getInfo/image/70ec336d-4a0e-11ed-a216-ac1f6b442185")</f>
        <v>https://knigipp.ru/api/getInfo/image/70ec336d-4a0e-11ed-a216-ac1f6b442185</v>
      </c>
      <c r="AA2447" s="33">
        <v>32</v>
      </c>
      <c r="AB2447" s="5" t="s">
        <v>47</v>
      </c>
      <c r="AC2447" s="5" t="s">
        <v>86</v>
      </c>
      <c r="AD2447" s="5"/>
      <c r="AE2447" s="5" t="s">
        <v>49</v>
      </c>
      <c r="AF2447" s="5"/>
      <c r="AG2447" s="5"/>
      <c r="AH2447" s="5" t="s">
        <v>10807</v>
      </c>
    </row>
    <row r="2448" spans="2:34" ht="21" customHeight="1" outlineLevel="4" x14ac:dyDescent="0.2">
      <c r="B2448" s="42">
        <v>1930</v>
      </c>
      <c r="C2448" s="5" t="s">
        <v>10824</v>
      </c>
      <c r="D2448" s="5" t="s">
        <v>10825</v>
      </c>
      <c r="E2448" s="6" t="s">
        <v>10826</v>
      </c>
      <c r="F2448" s="10"/>
      <c r="G2448" s="11" t="s">
        <v>10827</v>
      </c>
      <c r="H2448" s="12">
        <v>6</v>
      </c>
      <c r="I2448" s="13" t="s">
        <v>41</v>
      </c>
      <c r="J2448" s="13"/>
      <c r="K2448" s="13"/>
      <c r="L2448" s="4">
        <v>1</v>
      </c>
      <c r="M2448" s="14">
        <f>687*(1-P3/100)</f>
        <v>687</v>
      </c>
      <c r="N2448" s="15"/>
      <c r="O2448" s="13">
        <f>M2448*N2448</f>
        <v>0</v>
      </c>
      <c r="P2448" s="22">
        <f>0.388*N2448</f>
        <v>0</v>
      </c>
      <c r="Q2448" s="23">
        <f>0.00284*N2448</f>
        <v>0</v>
      </c>
      <c r="R2448" s="24"/>
      <c r="S2448" s="25" t="s">
        <v>10828</v>
      </c>
      <c r="T2448" s="25" t="s">
        <v>43</v>
      </c>
      <c r="U2448" s="5"/>
      <c r="V2448" s="5" t="s">
        <v>10829</v>
      </c>
      <c r="W2448" s="5" t="s">
        <v>46</v>
      </c>
      <c r="X2448" s="5"/>
      <c r="Y2448" s="5"/>
      <c r="Z2448" s="5" t="str">
        <f>HYPERLINK("https://knigipp.ru/api/getInfo/image/9feffe5d-7fd2-11ef-a265-00155d82e908")</f>
        <v>https://knigipp.ru/api/getInfo/image/9feffe5d-7fd2-11ef-a265-00155d82e908</v>
      </c>
      <c r="AA2448" s="33">
        <v>32</v>
      </c>
      <c r="AB2448" s="5" t="s">
        <v>47</v>
      </c>
      <c r="AC2448" s="5" t="s">
        <v>86</v>
      </c>
      <c r="AD2448" s="5"/>
      <c r="AE2448" s="5" t="s">
        <v>49</v>
      </c>
      <c r="AF2448" s="5"/>
      <c r="AG2448" s="5"/>
      <c r="AH2448" s="5" t="s">
        <v>10830</v>
      </c>
    </row>
    <row r="2449" spans="2:34" ht="22.95" customHeight="1" outlineLevel="2" x14ac:dyDescent="0.2">
      <c r="B2449" s="73" t="s">
        <v>10831</v>
      </c>
      <c r="C2449" s="73"/>
      <c r="D2449" s="73"/>
    </row>
    <row r="2450" spans="2:34" ht="22.95" customHeight="1" outlineLevel="3" x14ac:dyDescent="0.2">
      <c r="B2450" s="74" t="s">
        <v>10832</v>
      </c>
      <c r="C2450" s="74"/>
      <c r="D2450" s="74"/>
    </row>
    <row r="2451" spans="2:34" ht="21" customHeight="1" outlineLevel="4" x14ac:dyDescent="0.2">
      <c r="B2451" s="42">
        <v>1931</v>
      </c>
      <c r="C2451" s="5" t="s">
        <v>10833</v>
      </c>
      <c r="D2451" s="5" t="s">
        <v>10834</v>
      </c>
      <c r="E2451" s="6" t="s">
        <v>10835</v>
      </c>
      <c r="F2451" s="10"/>
      <c r="G2451" s="11" t="s">
        <v>10836</v>
      </c>
      <c r="H2451" s="12">
        <v>40</v>
      </c>
      <c r="I2451" s="13" t="s">
        <v>41</v>
      </c>
      <c r="J2451" s="13"/>
      <c r="K2451" s="13"/>
      <c r="L2451" s="4">
        <v>5</v>
      </c>
      <c r="M2451" s="14">
        <f>169*(1-P3/100)</f>
        <v>169</v>
      </c>
      <c r="N2451" s="15"/>
      <c r="O2451" s="13">
        <f t="shared" ref="O2451:O2503" si="111">M2451*N2451</f>
        <v>0</v>
      </c>
      <c r="P2451" s="22">
        <f>0.113*N2451</f>
        <v>0</v>
      </c>
      <c r="Q2451" s="23">
        <f>0.00018*N2451</f>
        <v>0</v>
      </c>
      <c r="R2451" s="24"/>
      <c r="S2451" s="25" t="s">
        <v>10837</v>
      </c>
      <c r="T2451" s="25" t="s">
        <v>43</v>
      </c>
      <c r="U2451" s="5" t="s">
        <v>10838</v>
      </c>
      <c r="V2451" s="5" t="s">
        <v>10839</v>
      </c>
      <c r="W2451" s="5" t="s">
        <v>46</v>
      </c>
      <c r="X2451" s="5"/>
      <c r="Y2451" s="5"/>
      <c r="Z2451" s="5" t="str">
        <f>HYPERLINK("https://knigipp.ru/api/getInfo/image/96951a38-9b43-11ee-a256-00155d82e908")</f>
        <v>https://knigipp.ru/api/getInfo/image/96951a38-9b43-11ee-a256-00155d82e908</v>
      </c>
      <c r="AA2451" s="33">
        <v>10</v>
      </c>
      <c r="AB2451" s="5"/>
      <c r="AC2451" s="5" t="s">
        <v>140</v>
      </c>
      <c r="AD2451" s="5"/>
      <c r="AE2451" s="5" t="s">
        <v>49</v>
      </c>
      <c r="AF2451" s="5"/>
      <c r="AG2451" s="5" t="s">
        <v>10840</v>
      </c>
      <c r="AH2451" s="5" t="s">
        <v>10841</v>
      </c>
    </row>
    <row r="2452" spans="2:34" ht="21" customHeight="1" outlineLevel="4" x14ac:dyDescent="0.2">
      <c r="B2452" s="42">
        <v>1932</v>
      </c>
      <c r="C2452" s="5" t="s">
        <v>10842</v>
      </c>
      <c r="D2452" s="5" t="s">
        <v>10843</v>
      </c>
      <c r="E2452" s="6" t="s">
        <v>10844</v>
      </c>
      <c r="F2452" s="10"/>
      <c r="G2452" s="11" t="s">
        <v>10836</v>
      </c>
      <c r="H2452" s="12">
        <v>40</v>
      </c>
      <c r="I2452" s="13" t="s">
        <v>41</v>
      </c>
      <c r="J2452" s="13"/>
      <c r="K2452" s="13"/>
      <c r="L2452" s="4">
        <v>5</v>
      </c>
      <c r="M2452" s="14">
        <f>169*(1-P3/100)</f>
        <v>169</v>
      </c>
      <c r="N2452" s="15"/>
      <c r="O2452" s="13">
        <f t="shared" si="111"/>
        <v>0</v>
      </c>
      <c r="P2452" s="22">
        <f>0.107*N2452</f>
        <v>0</v>
      </c>
      <c r="Q2452" s="23">
        <f>0.00029*N2452</f>
        <v>0</v>
      </c>
      <c r="R2452" s="24"/>
      <c r="S2452" s="25" t="s">
        <v>10845</v>
      </c>
      <c r="T2452" s="25" t="s">
        <v>43</v>
      </c>
      <c r="U2452" s="5" t="s">
        <v>10838</v>
      </c>
      <c r="V2452" s="5" t="s">
        <v>10846</v>
      </c>
      <c r="W2452" s="5" t="s">
        <v>46</v>
      </c>
      <c r="X2452" s="5"/>
      <c r="Y2452" s="5"/>
      <c r="Z2452" s="5" t="str">
        <f>HYPERLINK("https://knigipp.ru/api/getInfo/image/ba15bc88-9b43-11ee-a256-00155d82e908")</f>
        <v>https://knigipp.ru/api/getInfo/image/ba15bc88-9b43-11ee-a256-00155d82e908</v>
      </c>
      <c r="AA2452" s="33">
        <v>10</v>
      </c>
      <c r="AB2452" s="5"/>
      <c r="AC2452" s="5" t="s">
        <v>140</v>
      </c>
      <c r="AD2452" s="5"/>
      <c r="AE2452" s="5" t="s">
        <v>49</v>
      </c>
      <c r="AF2452" s="5"/>
      <c r="AG2452" s="5" t="s">
        <v>10840</v>
      </c>
      <c r="AH2452" s="5" t="s">
        <v>10841</v>
      </c>
    </row>
    <row r="2453" spans="2:34" ht="21" customHeight="1" outlineLevel="4" x14ac:dyDescent="0.2">
      <c r="B2453" s="42">
        <v>1933</v>
      </c>
      <c r="C2453" s="5" t="s">
        <v>10847</v>
      </c>
      <c r="D2453" s="5" t="s">
        <v>10848</v>
      </c>
      <c r="E2453" s="6" t="s">
        <v>10849</v>
      </c>
      <c r="F2453" s="10"/>
      <c r="G2453" s="11" t="s">
        <v>10836</v>
      </c>
      <c r="H2453" s="12">
        <v>40</v>
      </c>
      <c r="I2453" s="13" t="s">
        <v>261</v>
      </c>
      <c r="J2453" s="13"/>
      <c r="K2453" s="13"/>
      <c r="L2453" s="4">
        <v>5</v>
      </c>
      <c r="M2453" s="14">
        <f>169*(1-P3/100)</f>
        <v>169</v>
      </c>
      <c r="N2453" s="15"/>
      <c r="O2453" s="13">
        <f t="shared" si="111"/>
        <v>0</v>
      </c>
      <c r="P2453" s="22">
        <f>0.126*N2453</f>
        <v>0</v>
      </c>
      <c r="Q2453" s="23">
        <f>0.00033*N2453</f>
        <v>0</v>
      </c>
      <c r="R2453" s="24"/>
      <c r="S2453" s="25" t="s">
        <v>10850</v>
      </c>
      <c r="T2453" s="25" t="s">
        <v>43</v>
      </c>
      <c r="U2453" s="5" t="s">
        <v>4057</v>
      </c>
      <c r="V2453" s="5"/>
      <c r="W2453" s="5" t="s">
        <v>46</v>
      </c>
      <c r="X2453" s="5" t="s">
        <v>10020</v>
      </c>
      <c r="Y2453" s="5"/>
      <c r="Z2453" s="5" t="str">
        <f>HYPERLINK("https://knigipp.ru/api/getInfo/image/7d917f14-c686-11e1-81d3-5ef3fc502493")</f>
        <v>https://knigipp.ru/api/getInfo/image/7d917f14-c686-11e1-81d3-5ef3fc502493</v>
      </c>
      <c r="AA2453" s="33">
        <v>10</v>
      </c>
      <c r="AB2453" s="5"/>
      <c r="AC2453" s="5" t="s">
        <v>140</v>
      </c>
      <c r="AD2453" s="5"/>
      <c r="AE2453" s="5" t="s">
        <v>49</v>
      </c>
      <c r="AF2453" s="5"/>
      <c r="AG2453" s="5" t="s">
        <v>10840</v>
      </c>
      <c r="AH2453" s="5" t="s">
        <v>10841</v>
      </c>
    </row>
    <row r="2454" spans="2:34" ht="21" customHeight="1" outlineLevel="4" x14ac:dyDescent="0.2">
      <c r="B2454" s="42">
        <v>1934</v>
      </c>
      <c r="C2454" s="5" t="s">
        <v>10851</v>
      </c>
      <c r="D2454" s="5" t="s">
        <v>10852</v>
      </c>
      <c r="E2454" s="6" t="s">
        <v>10853</v>
      </c>
      <c r="F2454" s="10"/>
      <c r="G2454" s="11" t="s">
        <v>10836</v>
      </c>
      <c r="H2454" s="12">
        <v>40</v>
      </c>
      <c r="I2454" s="13" t="s">
        <v>41</v>
      </c>
      <c r="J2454" s="13"/>
      <c r="K2454" s="13"/>
      <c r="L2454" s="4">
        <v>5</v>
      </c>
      <c r="M2454" s="14">
        <f>169*(1-P3/100)</f>
        <v>169</v>
      </c>
      <c r="N2454" s="15"/>
      <c r="O2454" s="13">
        <f t="shared" si="111"/>
        <v>0</v>
      </c>
      <c r="P2454" s="22">
        <f>0.108*N2454</f>
        <v>0</v>
      </c>
      <c r="Q2454" s="23">
        <f>0.00036*N2454</f>
        <v>0</v>
      </c>
      <c r="R2454" s="24"/>
      <c r="S2454" s="25" t="s">
        <v>10854</v>
      </c>
      <c r="T2454" s="25" t="s">
        <v>43</v>
      </c>
      <c r="U2454" s="5" t="s">
        <v>10855</v>
      </c>
      <c r="V2454" s="5" t="s">
        <v>10856</v>
      </c>
      <c r="W2454" s="5" t="s">
        <v>46</v>
      </c>
      <c r="X2454" s="5"/>
      <c r="Y2454" s="5"/>
      <c r="Z2454" s="5" t="str">
        <f>HYPERLINK("https://knigipp.ru/api/getInfo/image/fa8171ff-6e10-11f0-a284-00155d82e908")</f>
        <v>https://knigipp.ru/api/getInfo/image/fa8171ff-6e10-11f0-a284-00155d82e908</v>
      </c>
      <c r="AA2454" s="33">
        <v>10</v>
      </c>
      <c r="AB2454" s="5" t="s">
        <v>47</v>
      </c>
      <c r="AC2454" s="5" t="s">
        <v>140</v>
      </c>
      <c r="AD2454" s="5"/>
      <c r="AE2454" s="5" t="s">
        <v>49</v>
      </c>
      <c r="AF2454" s="5"/>
      <c r="AG2454" s="5" t="s">
        <v>10840</v>
      </c>
      <c r="AH2454" s="5" t="s">
        <v>10841</v>
      </c>
    </row>
    <row r="2455" spans="2:34" ht="21" customHeight="1" outlineLevel="4" x14ac:dyDescent="0.2">
      <c r="B2455" s="42">
        <v>1935</v>
      </c>
      <c r="C2455" s="5" t="s">
        <v>10857</v>
      </c>
      <c r="D2455" s="5" t="s">
        <v>10858</v>
      </c>
      <c r="E2455" s="6" t="s">
        <v>10859</v>
      </c>
      <c r="F2455" s="10"/>
      <c r="G2455" s="11" t="s">
        <v>10860</v>
      </c>
      <c r="H2455" s="12">
        <v>40</v>
      </c>
      <c r="I2455" s="13" t="s">
        <v>371</v>
      </c>
      <c r="J2455" s="13"/>
      <c r="K2455" s="13"/>
      <c r="L2455" s="4">
        <v>5</v>
      </c>
      <c r="M2455" s="14">
        <f>169*(1-P3/100)</f>
        <v>169</v>
      </c>
      <c r="N2455" s="15"/>
      <c r="O2455" s="13">
        <f t="shared" si="111"/>
        <v>0</v>
      </c>
      <c r="P2455" s="22">
        <f>0.108*N2455</f>
        <v>0</v>
      </c>
      <c r="Q2455" s="23">
        <f>0.00044*N2455</f>
        <v>0</v>
      </c>
      <c r="R2455" s="24"/>
      <c r="S2455" s="25" t="s">
        <v>10861</v>
      </c>
      <c r="T2455" s="25" t="s">
        <v>43</v>
      </c>
      <c r="U2455" s="5"/>
      <c r="V2455" s="5"/>
      <c r="W2455" s="5" t="s">
        <v>46</v>
      </c>
      <c r="X2455" s="5" t="s">
        <v>253</v>
      </c>
      <c r="Y2455" s="5"/>
      <c r="Z2455" s="5" t="str">
        <f>HYPERLINK("https://knigipp.ru/api/getInfo/image/7d917f1f-c686-11e1-81d3-5ef3fc502493")</f>
        <v>https://knigipp.ru/api/getInfo/image/7d917f1f-c686-11e1-81d3-5ef3fc502493</v>
      </c>
      <c r="AA2455" s="33">
        <v>10</v>
      </c>
      <c r="AB2455" s="5"/>
      <c r="AC2455" s="5" t="s">
        <v>140</v>
      </c>
      <c r="AD2455" s="5"/>
      <c r="AE2455" s="5" t="s">
        <v>49</v>
      </c>
      <c r="AF2455" s="5"/>
      <c r="AG2455" s="5" t="s">
        <v>10840</v>
      </c>
      <c r="AH2455" s="5" t="s">
        <v>10841</v>
      </c>
    </row>
    <row r="2456" spans="2:34" ht="21" customHeight="1" outlineLevel="4" x14ac:dyDescent="0.2">
      <c r="B2456" s="42">
        <v>1936</v>
      </c>
      <c r="C2456" s="5" t="s">
        <v>10862</v>
      </c>
      <c r="D2456" s="5" t="s">
        <v>10863</v>
      </c>
      <c r="E2456" s="6" t="s">
        <v>10864</v>
      </c>
      <c r="F2456" s="10"/>
      <c r="G2456" s="11" t="s">
        <v>10836</v>
      </c>
      <c r="H2456" s="12">
        <v>40</v>
      </c>
      <c r="I2456" s="13" t="s">
        <v>41</v>
      </c>
      <c r="J2456" s="13"/>
      <c r="K2456" s="13"/>
      <c r="L2456" s="4">
        <v>5</v>
      </c>
      <c r="M2456" s="14">
        <f>169*(1-P3/100)</f>
        <v>169</v>
      </c>
      <c r="N2456" s="15"/>
      <c r="O2456" s="13">
        <f t="shared" si="111"/>
        <v>0</v>
      </c>
      <c r="P2456" s="22">
        <f>0.114*N2456</f>
        <v>0</v>
      </c>
      <c r="Q2456" s="23">
        <f>0.00022*N2456</f>
        <v>0</v>
      </c>
      <c r="R2456" s="24"/>
      <c r="S2456" s="25" t="s">
        <v>10865</v>
      </c>
      <c r="T2456" s="25" t="s">
        <v>43</v>
      </c>
      <c r="U2456" s="5" t="s">
        <v>8583</v>
      </c>
      <c r="V2456" s="5" t="s">
        <v>10866</v>
      </c>
      <c r="W2456" s="5" t="s">
        <v>46</v>
      </c>
      <c r="X2456" s="5"/>
      <c r="Y2456" s="5"/>
      <c r="Z2456" s="5" t="str">
        <f>HYPERLINK("https://knigipp.ru/api/getInfo/image/c3213370-55a6-11f0-a27e-00155d82e908")</f>
        <v>https://knigipp.ru/api/getInfo/image/c3213370-55a6-11f0-a27e-00155d82e908</v>
      </c>
      <c r="AA2456" s="33">
        <v>10</v>
      </c>
      <c r="AB2456" s="5" t="s">
        <v>47</v>
      </c>
      <c r="AC2456" s="5" t="s">
        <v>140</v>
      </c>
      <c r="AD2456" s="5"/>
      <c r="AE2456" s="5" t="s">
        <v>49</v>
      </c>
      <c r="AF2456" s="5"/>
      <c r="AG2456" s="5" t="s">
        <v>10840</v>
      </c>
      <c r="AH2456" s="5" t="s">
        <v>10841</v>
      </c>
    </row>
    <row r="2457" spans="2:34" ht="21" customHeight="1" outlineLevel="4" x14ac:dyDescent="0.2">
      <c r="B2457" s="42">
        <v>1937</v>
      </c>
      <c r="C2457" s="5" t="s">
        <v>10867</v>
      </c>
      <c r="D2457" s="5" t="s">
        <v>10868</v>
      </c>
      <c r="E2457" s="6" t="s">
        <v>10869</v>
      </c>
      <c r="F2457" s="10"/>
      <c r="G2457" s="11" t="s">
        <v>10836</v>
      </c>
      <c r="H2457" s="12">
        <v>40</v>
      </c>
      <c r="I2457" s="13" t="s">
        <v>41</v>
      </c>
      <c r="J2457" s="13"/>
      <c r="K2457" s="13"/>
      <c r="L2457" s="4">
        <v>5</v>
      </c>
      <c r="M2457" s="14">
        <f>169*(1-P3/100)</f>
        <v>169</v>
      </c>
      <c r="N2457" s="15"/>
      <c r="O2457" s="13">
        <f t="shared" si="111"/>
        <v>0</v>
      </c>
      <c r="P2457" s="22">
        <f>0.111*N2457</f>
        <v>0</v>
      </c>
      <c r="Q2457" s="23">
        <f>0.00029*N2457</f>
        <v>0</v>
      </c>
      <c r="R2457" s="24"/>
      <c r="S2457" s="25" t="s">
        <v>10870</v>
      </c>
      <c r="T2457" s="25" t="s">
        <v>43</v>
      </c>
      <c r="U2457" s="5"/>
      <c r="V2457" s="5"/>
      <c r="W2457" s="5" t="s">
        <v>46</v>
      </c>
      <c r="X2457" s="5" t="s">
        <v>10425</v>
      </c>
      <c r="Y2457" s="5"/>
      <c r="Z2457" s="5" t="str">
        <f>HYPERLINK("https://knigipp.ru/api/getInfo/image/7d917f22-c686-11e1-81d3-5ef3fc502493")</f>
        <v>https://knigipp.ru/api/getInfo/image/7d917f22-c686-11e1-81d3-5ef3fc502493</v>
      </c>
      <c r="AA2457" s="33">
        <v>10</v>
      </c>
      <c r="AB2457" s="5"/>
      <c r="AC2457" s="5" t="s">
        <v>140</v>
      </c>
      <c r="AD2457" s="5"/>
      <c r="AE2457" s="5" t="s">
        <v>49</v>
      </c>
      <c r="AF2457" s="5"/>
      <c r="AG2457" s="5" t="s">
        <v>10840</v>
      </c>
      <c r="AH2457" s="5" t="s">
        <v>10841</v>
      </c>
    </row>
    <row r="2458" spans="2:34" ht="21" customHeight="1" outlineLevel="4" x14ac:dyDescent="0.2">
      <c r="B2458" s="42">
        <v>1938</v>
      </c>
      <c r="C2458" s="5" t="s">
        <v>10871</v>
      </c>
      <c r="D2458" s="5" t="s">
        <v>10872</v>
      </c>
      <c r="E2458" s="6" t="s">
        <v>10873</v>
      </c>
      <c r="F2458" s="10"/>
      <c r="G2458" s="11" t="s">
        <v>10836</v>
      </c>
      <c r="H2458" s="12">
        <v>40</v>
      </c>
      <c r="I2458" s="13" t="s">
        <v>371</v>
      </c>
      <c r="J2458" s="13"/>
      <c r="K2458" s="13"/>
      <c r="L2458" s="4">
        <v>5</v>
      </c>
      <c r="M2458" s="14">
        <f>169*(1-P3/100)</f>
        <v>169</v>
      </c>
      <c r="N2458" s="15"/>
      <c r="O2458" s="13">
        <f t="shared" si="111"/>
        <v>0</v>
      </c>
      <c r="P2458" s="22">
        <f>0.108*N2458</f>
        <v>0</v>
      </c>
      <c r="Q2458" s="23">
        <f>0.00022*N2458</f>
        <v>0</v>
      </c>
      <c r="R2458" s="24"/>
      <c r="S2458" s="25" t="s">
        <v>10874</v>
      </c>
      <c r="T2458" s="25" t="s">
        <v>43</v>
      </c>
      <c r="U2458" s="5"/>
      <c r="V2458" s="5" t="s">
        <v>10875</v>
      </c>
      <c r="W2458" s="5" t="s">
        <v>46</v>
      </c>
      <c r="X2458" s="5"/>
      <c r="Y2458" s="5"/>
      <c r="Z2458" s="5" t="str">
        <f>HYPERLINK("https://knigipp.ru/api/getInfo/image/f69f66a4-459b-11ef-a262-00155d82e908")</f>
        <v>https://knigipp.ru/api/getInfo/image/f69f66a4-459b-11ef-a262-00155d82e908</v>
      </c>
      <c r="AA2458" s="33">
        <v>10</v>
      </c>
      <c r="AB2458" s="5"/>
      <c r="AC2458" s="5" t="s">
        <v>140</v>
      </c>
      <c r="AD2458" s="5"/>
      <c r="AE2458" s="5" t="s">
        <v>49</v>
      </c>
      <c r="AF2458" s="5"/>
      <c r="AG2458" s="5" t="s">
        <v>10840</v>
      </c>
      <c r="AH2458" s="5" t="s">
        <v>10841</v>
      </c>
    </row>
    <row r="2459" spans="2:34" ht="21" customHeight="1" outlineLevel="4" x14ac:dyDescent="0.2">
      <c r="B2459" s="42">
        <v>1939</v>
      </c>
      <c r="C2459" s="5" t="s">
        <v>10876</v>
      </c>
      <c r="D2459" s="5" t="s">
        <v>10877</v>
      </c>
      <c r="E2459" s="6" t="s">
        <v>10878</v>
      </c>
      <c r="F2459" s="10"/>
      <c r="G2459" s="11" t="s">
        <v>10879</v>
      </c>
      <c r="H2459" s="12">
        <v>40</v>
      </c>
      <c r="I2459" s="13" t="s">
        <v>41</v>
      </c>
      <c r="J2459" s="13"/>
      <c r="K2459" s="13"/>
      <c r="L2459" s="4">
        <v>5</v>
      </c>
      <c r="M2459" s="14">
        <f>169*(1-P3/100)</f>
        <v>169</v>
      </c>
      <c r="N2459" s="15"/>
      <c r="O2459" s="13">
        <f t="shared" si="111"/>
        <v>0</v>
      </c>
      <c r="P2459" s="22">
        <f>0.108*N2459</f>
        <v>0</v>
      </c>
      <c r="Q2459" s="23">
        <f>0.00044*N2459</f>
        <v>0</v>
      </c>
      <c r="R2459" s="24"/>
      <c r="S2459" s="25" t="s">
        <v>10880</v>
      </c>
      <c r="T2459" s="25" t="s">
        <v>43</v>
      </c>
      <c r="U2459" s="5" t="s">
        <v>128</v>
      </c>
      <c r="V2459" s="5"/>
      <c r="W2459" s="5" t="s">
        <v>46</v>
      </c>
      <c r="X2459" s="5"/>
      <c r="Y2459" s="5"/>
      <c r="Z2459" s="5" t="str">
        <f>HYPERLINK("https://knigipp.ru/api/getInfo/image/9211fc02-4f3b-11ef-a262-00155d82e908")</f>
        <v>https://knigipp.ru/api/getInfo/image/9211fc02-4f3b-11ef-a262-00155d82e908</v>
      </c>
      <c r="AA2459" s="33">
        <v>10</v>
      </c>
      <c r="AB2459" s="5" t="s">
        <v>47</v>
      </c>
      <c r="AC2459" s="5" t="s">
        <v>140</v>
      </c>
      <c r="AD2459" s="5"/>
      <c r="AE2459" s="5" t="s">
        <v>49</v>
      </c>
      <c r="AF2459" s="5"/>
      <c r="AG2459" s="5" t="s">
        <v>10840</v>
      </c>
      <c r="AH2459" s="5" t="s">
        <v>10841</v>
      </c>
    </row>
    <row r="2460" spans="2:34" ht="21" customHeight="1" outlineLevel="4" x14ac:dyDescent="0.2">
      <c r="B2460" s="42">
        <v>1940</v>
      </c>
      <c r="C2460" s="5" t="s">
        <v>10881</v>
      </c>
      <c r="D2460" s="5" t="s">
        <v>10882</v>
      </c>
      <c r="E2460" s="6" t="s">
        <v>10883</v>
      </c>
      <c r="F2460" s="10"/>
      <c r="G2460" s="11" t="s">
        <v>10884</v>
      </c>
      <c r="H2460" s="12">
        <v>40</v>
      </c>
      <c r="I2460" s="13" t="s">
        <v>41</v>
      </c>
      <c r="J2460" s="13"/>
      <c r="K2460" s="13"/>
      <c r="L2460" s="4">
        <v>5</v>
      </c>
      <c r="M2460" s="14">
        <f>169*(1-P3/100)</f>
        <v>169</v>
      </c>
      <c r="N2460" s="15"/>
      <c r="O2460" s="13">
        <f t="shared" si="111"/>
        <v>0</v>
      </c>
      <c r="P2460" s="22">
        <f>0.118*N2460</f>
        <v>0</v>
      </c>
      <c r="Q2460" s="23">
        <f>0.00018*N2460</f>
        <v>0</v>
      </c>
      <c r="R2460" s="24"/>
      <c r="S2460" s="25" t="s">
        <v>10885</v>
      </c>
      <c r="T2460" s="25" t="s">
        <v>43</v>
      </c>
      <c r="U2460" s="5" t="s">
        <v>10886</v>
      </c>
      <c r="V2460" s="5" t="s">
        <v>10887</v>
      </c>
      <c r="W2460" s="5" t="s">
        <v>46</v>
      </c>
      <c r="X2460" s="5"/>
      <c r="Y2460" s="5"/>
      <c r="Z2460" s="5" t="str">
        <f>HYPERLINK("https://knigipp.ru/api/getInfo/image/a2112997-84c1-11f0-a284-00155d82e908")</f>
        <v>https://knigipp.ru/api/getInfo/image/a2112997-84c1-11f0-a284-00155d82e908</v>
      </c>
      <c r="AA2460" s="33">
        <v>10</v>
      </c>
      <c r="AB2460" s="5" t="s">
        <v>47</v>
      </c>
      <c r="AC2460" s="5" t="s">
        <v>140</v>
      </c>
      <c r="AD2460" s="5"/>
      <c r="AE2460" s="5" t="s">
        <v>49</v>
      </c>
      <c r="AF2460" s="5"/>
      <c r="AG2460" s="5" t="s">
        <v>10840</v>
      </c>
      <c r="AH2460" s="5" t="s">
        <v>10841</v>
      </c>
    </row>
    <row r="2461" spans="2:34" ht="21" customHeight="1" outlineLevel="4" x14ac:dyDescent="0.2">
      <c r="B2461" s="42">
        <v>1941</v>
      </c>
      <c r="C2461" s="5" t="s">
        <v>10888</v>
      </c>
      <c r="D2461" s="5" t="s">
        <v>10889</v>
      </c>
      <c r="E2461" s="6" t="s">
        <v>10890</v>
      </c>
      <c r="F2461" s="10"/>
      <c r="G2461" s="11" t="s">
        <v>10836</v>
      </c>
      <c r="H2461" s="12">
        <v>40</v>
      </c>
      <c r="I2461" s="13" t="s">
        <v>41</v>
      </c>
      <c r="J2461" s="13"/>
      <c r="K2461" s="13"/>
      <c r="L2461" s="4">
        <v>5</v>
      </c>
      <c r="M2461" s="14">
        <f>169*(1-P3/100)</f>
        <v>169</v>
      </c>
      <c r="N2461" s="15"/>
      <c r="O2461" s="13">
        <f t="shared" si="111"/>
        <v>0</v>
      </c>
      <c r="P2461" s="22">
        <f>0.108*N2461</f>
        <v>0</v>
      </c>
      <c r="Q2461" s="30">
        <f>0.0004*N2461</f>
        <v>0</v>
      </c>
      <c r="R2461" s="24"/>
      <c r="S2461" s="25" t="s">
        <v>10891</v>
      </c>
      <c r="T2461" s="25" t="s">
        <v>43</v>
      </c>
      <c r="U2461" s="5" t="s">
        <v>10737</v>
      </c>
      <c r="V2461" s="5" t="s">
        <v>10892</v>
      </c>
      <c r="W2461" s="5" t="s">
        <v>46</v>
      </c>
      <c r="X2461" s="5"/>
      <c r="Y2461" s="5"/>
      <c r="Z2461" s="5" t="str">
        <f>HYPERLINK("https://knigipp.ru/api/getInfo/image/83267171-6e11-11f0-a284-00155d82e908")</f>
        <v>https://knigipp.ru/api/getInfo/image/83267171-6e11-11f0-a284-00155d82e908</v>
      </c>
      <c r="AA2461" s="33">
        <v>10</v>
      </c>
      <c r="AB2461" s="5" t="s">
        <v>47</v>
      </c>
      <c r="AC2461" s="5" t="s">
        <v>140</v>
      </c>
      <c r="AD2461" s="5"/>
      <c r="AE2461" s="5" t="s">
        <v>49</v>
      </c>
      <c r="AF2461" s="5"/>
      <c r="AG2461" s="5" t="s">
        <v>10840</v>
      </c>
      <c r="AH2461" s="5" t="s">
        <v>10841</v>
      </c>
    </row>
    <row r="2462" spans="2:34" ht="21" customHeight="1" outlineLevel="4" x14ac:dyDescent="0.2">
      <c r="B2462" s="42">
        <v>1942</v>
      </c>
      <c r="C2462" s="5" t="s">
        <v>10893</v>
      </c>
      <c r="D2462" s="5" t="s">
        <v>10894</v>
      </c>
      <c r="E2462" s="6" t="s">
        <v>10895</v>
      </c>
      <c r="F2462" s="10"/>
      <c r="G2462" s="11" t="s">
        <v>10836</v>
      </c>
      <c r="H2462" s="12">
        <v>40</v>
      </c>
      <c r="I2462" s="13" t="s">
        <v>371</v>
      </c>
      <c r="J2462" s="13"/>
      <c r="K2462" s="13"/>
      <c r="L2462" s="4">
        <v>5</v>
      </c>
      <c r="M2462" s="14">
        <f>169*(1-P3/100)</f>
        <v>169</v>
      </c>
      <c r="N2462" s="15"/>
      <c r="O2462" s="13">
        <f t="shared" si="111"/>
        <v>0</v>
      </c>
      <c r="P2462" s="22">
        <f>0.113*N2462</f>
        <v>0</v>
      </c>
      <c r="Q2462" s="30">
        <f>0.0003*N2462</f>
        <v>0</v>
      </c>
      <c r="R2462" s="24"/>
      <c r="S2462" s="25" t="s">
        <v>10896</v>
      </c>
      <c r="T2462" s="25" t="s">
        <v>43</v>
      </c>
      <c r="U2462" s="5"/>
      <c r="V2462" s="5" t="s">
        <v>10897</v>
      </c>
      <c r="W2462" s="5" t="s">
        <v>46</v>
      </c>
      <c r="X2462" s="5"/>
      <c r="Y2462" s="5"/>
      <c r="Z2462" s="5" t="str">
        <f>HYPERLINK("https://knigipp.ru/api/getInfo/image/dcc18754-4219-11f0-a27c-00155d82e908")</f>
        <v>https://knigipp.ru/api/getInfo/image/dcc18754-4219-11f0-a27c-00155d82e908</v>
      </c>
      <c r="AA2462" s="33">
        <v>10</v>
      </c>
      <c r="AB2462" s="5" t="s">
        <v>47</v>
      </c>
      <c r="AC2462" s="5" t="s">
        <v>140</v>
      </c>
      <c r="AD2462" s="5"/>
      <c r="AE2462" s="5" t="s">
        <v>49</v>
      </c>
      <c r="AF2462" s="5"/>
      <c r="AG2462" s="5" t="s">
        <v>10840</v>
      </c>
      <c r="AH2462" s="5" t="s">
        <v>10841</v>
      </c>
    </row>
    <row r="2463" spans="2:34" ht="21" customHeight="1" outlineLevel="4" x14ac:dyDescent="0.2">
      <c r="B2463" s="42">
        <v>1943</v>
      </c>
      <c r="C2463" s="5" t="s">
        <v>10898</v>
      </c>
      <c r="D2463" s="5" t="s">
        <v>10899</v>
      </c>
      <c r="E2463" s="6" t="s">
        <v>10900</v>
      </c>
      <c r="F2463" s="10"/>
      <c r="G2463" s="11" t="s">
        <v>10901</v>
      </c>
      <c r="H2463" s="12">
        <v>40</v>
      </c>
      <c r="I2463" s="13" t="s">
        <v>371</v>
      </c>
      <c r="J2463" s="13"/>
      <c r="K2463" s="13"/>
      <c r="L2463" s="4">
        <v>5</v>
      </c>
      <c r="M2463" s="14">
        <f>169*(1-P3/100)</f>
        <v>169</v>
      </c>
      <c r="N2463" s="15"/>
      <c r="O2463" s="13">
        <f t="shared" si="111"/>
        <v>0</v>
      </c>
      <c r="P2463" s="22">
        <f>0.107*N2463</f>
        <v>0</v>
      </c>
      <c r="Q2463" s="30">
        <f>0.0003*N2463</f>
        <v>0</v>
      </c>
      <c r="R2463" s="24"/>
      <c r="S2463" s="25" t="s">
        <v>10902</v>
      </c>
      <c r="T2463" s="25" t="s">
        <v>43</v>
      </c>
      <c r="U2463" s="5" t="s">
        <v>4057</v>
      </c>
      <c r="V2463" s="5" t="s">
        <v>10903</v>
      </c>
      <c r="W2463" s="5" t="s">
        <v>46</v>
      </c>
      <c r="X2463" s="5"/>
      <c r="Y2463" s="5"/>
      <c r="Z2463" s="5" t="str">
        <f>HYPERLINK("https://knigipp.ru/api/getInfo/image/6cbe9ffc-3553-11ef-a261-00155d82e908")</f>
        <v>https://knigipp.ru/api/getInfo/image/6cbe9ffc-3553-11ef-a261-00155d82e908</v>
      </c>
      <c r="AA2463" s="33">
        <v>10</v>
      </c>
      <c r="AB2463" s="5"/>
      <c r="AC2463" s="5" t="s">
        <v>140</v>
      </c>
      <c r="AD2463" s="5"/>
      <c r="AE2463" s="5" t="s">
        <v>49</v>
      </c>
      <c r="AF2463" s="5"/>
      <c r="AG2463" s="5" t="s">
        <v>10840</v>
      </c>
      <c r="AH2463" s="5" t="s">
        <v>10841</v>
      </c>
    </row>
    <row r="2464" spans="2:34" ht="21" customHeight="1" outlineLevel="4" x14ac:dyDescent="0.2">
      <c r="B2464" s="42">
        <v>1944</v>
      </c>
      <c r="C2464" s="5" t="s">
        <v>10904</v>
      </c>
      <c r="D2464" s="5" t="s">
        <v>10905</v>
      </c>
      <c r="E2464" s="6" t="s">
        <v>10906</v>
      </c>
      <c r="F2464" s="10"/>
      <c r="G2464" s="11" t="s">
        <v>10901</v>
      </c>
      <c r="H2464" s="12">
        <v>40</v>
      </c>
      <c r="I2464" s="13" t="s">
        <v>41</v>
      </c>
      <c r="J2464" s="13"/>
      <c r="K2464" s="13"/>
      <c r="L2464" s="4">
        <v>5</v>
      </c>
      <c r="M2464" s="14">
        <f>169*(1-P3/100)</f>
        <v>169</v>
      </c>
      <c r="N2464" s="15"/>
      <c r="O2464" s="13">
        <f t="shared" si="111"/>
        <v>0</v>
      </c>
      <c r="P2464" s="22">
        <f>0.108*N2464</f>
        <v>0</v>
      </c>
      <c r="Q2464" s="23">
        <f>0.00022*N2464</f>
        <v>0</v>
      </c>
      <c r="R2464" s="24"/>
      <c r="S2464" s="25" t="s">
        <v>10907</v>
      </c>
      <c r="T2464" s="25" t="s">
        <v>43</v>
      </c>
      <c r="U2464" s="5" t="s">
        <v>4057</v>
      </c>
      <c r="V2464" s="5" t="s">
        <v>10908</v>
      </c>
      <c r="W2464" s="5" t="s">
        <v>46</v>
      </c>
      <c r="X2464" s="5"/>
      <c r="Y2464" s="5"/>
      <c r="Z2464" s="5" t="str">
        <f>HYPERLINK("https://knigipp.ru/api/getInfo/image/407a7dfe-66cd-11ef-a265-00155d82e908")</f>
        <v>https://knigipp.ru/api/getInfo/image/407a7dfe-66cd-11ef-a265-00155d82e908</v>
      </c>
      <c r="AA2464" s="33">
        <v>10</v>
      </c>
      <c r="AB2464" s="5"/>
      <c r="AC2464" s="5" t="s">
        <v>140</v>
      </c>
      <c r="AD2464" s="5"/>
      <c r="AE2464" s="5" t="s">
        <v>49</v>
      </c>
      <c r="AF2464" s="5"/>
      <c r="AG2464" s="5" t="s">
        <v>10840</v>
      </c>
      <c r="AH2464" s="5" t="s">
        <v>10841</v>
      </c>
    </row>
    <row r="2465" spans="2:34" ht="21" customHeight="1" outlineLevel="4" x14ac:dyDescent="0.2">
      <c r="B2465" s="42">
        <v>1945</v>
      </c>
      <c r="C2465" s="5" t="s">
        <v>10909</v>
      </c>
      <c r="D2465" s="5" t="s">
        <v>10910</v>
      </c>
      <c r="E2465" s="6" t="s">
        <v>10911</v>
      </c>
      <c r="F2465" s="10"/>
      <c r="G2465" s="11" t="s">
        <v>10884</v>
      </c>
      <c r="H2465" s="12">
        <v>40</v>
      </c>
      <c r="I2465" s="13" t="s">
        <v>371</v>
      </c>
      <c r="J2465" s="13"/>
      <c r="K2465" s="13"/>
      <c r="L2465" s="4">
        <v>5</v>
      </c>
      <c r="M2465" s="14">
        <f>169*(1-P3/100)</f>
        <v>169</v>
      </c>
      <c r="N2465" s="15"/>
      <c r="O2465" s="13">
        <f t="shared" si="111"/>
        <v>0</v>
      </c>
      <c r="P2465" s="22">
        <f>0.119*N2465</f>
        <v>0</v>
      </c>
      <c r="Q2465" s="23">
        <f>0.00031*N2465</f>
        <v>0</v>
      </c>
      <c r="R2465" s="24"/>
      <c r="S2465" s="25" t="s">
        <v>10912</v>
      </c>
      <c r="T2465" s="25" t="s">
        <v>43</v>
      </c>
      <c r="U2465" s="5" t="s">
        <v>4057</v>
      </c>
      <c r="V2465" s="5"/>
      <c r="W2465" s="5" t="s">
        <v>46</v>
      </c>
      <c r="X2465" s="5"/>
      <c r="Y2465" s="5"/>
      <c r="Z2465" s="5" t="str">
        <f>HYPERLINK("https://knigipp.ru/api/getInfo/image/d6cbbc45-7fba-11ef-a265-00155d82e908")</f>
        <v>https://knigipp.ru/api/getInfo/image/d6cbbc45-7fba-11ef-a265-00155d82e908</v>
      </c>
      <c r="AA2465" s="33">
        <v>10</v>
      </c>
      <c r="AB2465" s="5"/>
      <c r="AC2465" s="5" t="s">
        <v>140</v>
      </c>
      <c r="AD2465" s="5"/>
      <c r="AE2465" s="5" t="s">
        <v>49</v>
      </c>
      <c r="AF2465" s="5"/>
      <c r="AG2465" s="5" t="s">
        <v>10840</v>
      </c>
      <c r="AH2465" s="5" t="s">
        <v>10841</v>
      </c>
    </row>
    <row r="2466" spans="2:34" ht="21" customHeight="1" outlineLevel="4" x14ac:dyDescent="0.2">
      <c r="B2466" s="42">
        <v>1946</v>
      </c>
      <c r="C2466" s="5" t="s">
        <v>10913</v>
      </c>
      <c r="D2466" s="5" t="s">
        <v>10914</v>
      </c>
      <c r="E2466" s="6" t="s">
        <v>10915</v>
      </c>
      <c r="F2466" s="10"/>
      <c r="G2466" s="11" t="s">
        <v>10901</v>
      </c>
      <c r="H2466" s="12">
        <v>40</v>
      </c>
      <c r="I2466" s="13" t="s">
        <v>41</v>
      </c>
      <c r="J2466" s="13"/>
      <c r="K2466" s="13"/>
      <c r="L2466" s="4">
        <v>5</v>
      </c>
      <c r="M2466" s="14">
        <f>169*(1-P3/100)</f>
        <v>169</v>
      </c>
      <c r="N2466" s="15"/>
      <c r="O2466" s="13">
        <f t="shared" si="111"/>
        <v>0</v>
      </c>
      <c r="P2466" s="22">
        <f>0.109*N2466</f>
        <v>0</v>
      </c>
      <c r="Q2466" s="23">
        <f>0.00022*N2466</f>
        <v>0</v>
      </c>
      <c r="R2466" s="24"/>
      <c r="S2466" s="25" t="s">
        <v>10916</v>
      </c>
      <c r="T2466" s="25" t="s">
        <v>43</v>
      </c>
      <c r="U2466" s="5" t="s">
        <v>4057</v>
      </c>
      <c r="V2466" s="5" t="s">
        <v>10917</v>
      </c>
      <c r="W2466" s="5" t="s">
        <v>46</v>
      </c>
      <c r="X2466" s="5"/>
      <c r="Y2466" s="5"/>
      <c r="Z2466" s="5" t="str">
        <f>HYPERLINK("https://knigipp.ru/api/getInfo/image/a2a7b5a4-66cd-11ef-a265-00155d82e908")</f>
        <v>https://knigipp.ru/api/getInfo/image/a2a7b5a4-66cd-11ef-a265-00155d82e908</v>
      </c>
      <c r="AA2466" s="33">
        <v>10</v>
      </c>
      <c r="AB2466" s="5"/>
      <c r="AC2466" s="5" t="s">
        <v>140</v>
      </c>
      <c r="AD2466" s="5"/>
      <c r="AE2466" s="5" t="s">
        <v>49</v>
      </c>
      <c r="AF2466" s="5"/>
      <c r="AG2466" s="5" t="s">
        <v>10840</v>
      </c>
      <c r="AH2466" s="5" t="s">
        <v>10841</v>
      </c>
    </row>
    <row r="2467" spans="2:34" ht="21" customHeight="1" outlineLevel="4" x14ac:dyDescent="0.2">
      <c r="B2467" s="42">
        <v>1947</v>
      </c>
      <c r="C2467" s="5" t="s">
        <v>10918</v>
      </c>
      <c r="D2467" s="5" t="s">
        <v>10919</v>
      </c>
      <c r="E2467" s="6" t="s">
        <v>10920</v>
      </c>
      <c r="F2467" s="10"/>
      <c r="G2467" s="11" t="s">
        <v>10901</v>
      </c>
      <c r="H2467" s="12">
        <v>40</v>
      </c>
      <c r="I2467" s="13" t="s">
        <v>41</v>
      </c>
      <c r="J2467" s="13"/>
      <c r="K2467" s="13"/>
      <c r="L2467" s="4">
        <v>5</v>
      </c>
      <c r="M2467" s="14">
        <f>169*(1-P3/100)</f>
        <v>169</v>
      </c>
      <c r="N2467" s="15"/>
      <c r="O2467" s="13">
        <f t="shared" si="111"/>
        <v>0</v>
      </c>
      <c r="P2467" s="22">
        <f>0.106*N2467</f>
        <v>0</v>
      </c>
      <c r="Q2467" s="23">
        <f>0.00015*N2467</f>
        <v>0</v>
      </c>
      <c r="R2467" s="24"/>
      <c r="S2467" s="25" t="s">
        <v>10921</v>
      </c>
      <c r="T2467" s="25" t="s">
        <v>43</v>
      </c>
      <c r="U2467" s="5" t="s">
        <v>4057</v>
      </c>
      <c r="V2467" s="5" t="s">
        <v>10922</v>
      </c>
      <c r="W2467" s="5" t="s">
        <v>46</v>
      </c>
      <c r="X2467" s="5"/>
      <c r="Y2467" s="5"/>
      <c r="Z2467" s="5" t="str">
        <f>HYPERLINK("https://knigipp.ru/api/getInfo/image/d3c57d6d-66cd-11ef-a265-00155d82e908")</f>
        <v>https://knigipp.ru/api/getInfo/image/d3c57d6d-66cd-11ef-a265-00155d82e908</v>
      </c>
      <c r="AA2467" s="33">
        <v>10</v>
      </c>
      <c r="AB2467" s="5" t="s">
        <v>47</v>
      </c>
      <c r="AC2467" s="5" t="s">
        <v>140</v>
      </c>
      <c r="AD2467" s="5"/>
      <c r="AE2467" s="5" t="s">
        <v>49</v>
      </c>
      <c r="AF2467" s="5"/>
      <c r="AG2467" s="5" t="s">
        <v>10840</v>
      </c>
      <c r="AH2467" s="5" t="s">
        <v>10841</v>
      </c>
    </row>
    <row r="2468" spans="2:34" ht="21" customHeight="1" outlineLevel="4" x14ac:dyDescent="0.2">
      <c r="B2468" s="42">
        <v>1948</v>
      </c>
      <c r="C2468" s="5" t="s">
        <v>10923</v>
      </c>
      <c r="D2468" s="5" t="s">
        <v>10924</v>
      </c>
      <c r="E2468" s="6" t="s">
        <v>10925</v>
      </c>
      <c r="F2468" s="10"/>
      <c r="G2468" s="11" t="s">
        <v>10901</v>
      </c>
      <c r="H2468" s="12">
        <v>40</v>
      </c>
      <c r="I2468" s="13" t="s">
        <v>371</v>
      </c>
      <c r="J2468" s="13"/>
      <c r="K2468" s="13"/>
      <c r="L2468" s="4">
        <v>5</v>
      </c>
      <c r="M2468" s="14">
        <f>169*(1-P3/100)</f>
        <v>169</v>
      </c>
      <c r="N2468" s="15"/>
      <c r="O2468" s="13">
        <f t="shared" si="111"/>
        <v>0</v>
      </c>
      <c r="P2468" s="22">
        <f>0.113*N2468</f>
        <v>0</v>
      </c>
      <c r="Q2468" s="23">
        <f>0.00019*N2468</f>
        <v>0</v>
      </c>
      <c r="R2468" s="24"/>
      <c r="S2468" s="25" t="s">
        <v>10926</v>
      </c>
      <c r="T2468" s="25" t="s">
        <v>43</v>
      </c>
      <c r="U2468" s="5" t="s">
        <v>4057</v>
      </c>
      <c r="V2468" s="5"/>
      <c r="W2468" s="5" t="s">
        <v>46</v>
      </c>
      <c r="X2468" s="5"/>
      <c r="Y2468" s="5"/>
      <c r="Z2468" s="5" t="str">
        <f>HYPERLINK("https://knigipp.ru/api/getInfo/image/0b798a18-7fbb-11ef-a265-00155d82e908")</f>
        <v>https://knigipp.ru/api/getInfo/image/0b798a18-7fbb-11ef-a265-00155d82e908</v>
      </c>
      <c r="AA2468" s="33">
        <v>10</v>
      </c>
      <c r="AB2468" s="5" t="s">
        <v>47</v>
      </c>
      <c r="AC2468" s="5" t="s">
        <v>140</v>
      </c>
      <c r="AD2468" s="5"/>
      <c r="AE2468" s="5" t="s">
        <v>49</v>
      </c>
      <c r="AF2468" s="5"/>
      <c r="AG2468" s="5" t="s">
        <v>10840</v>
      </c>
      <c r="AH2468" s="5" t="s">
        <v>10841</v>
      </c>
    </row>
    <row r="2469" spans="2:34" ht="21" customHeight="1" outlineLevel="4" x14ac:dyDescent="0.2">
      <c r="B2469" s="42">
        <v>1949</v>
      </c>
      <c r="C2469" s="5" t="s">
        <v>10927</v>
      </c>
      <c r="D2469" s="5" t="s">
        <v>10928</v>
      </c>
      <c r="E2469" s="6" t="s">
        <v>10929</v>
      </c>
      <c r="F2469" s="10"/>
      <c r="G2469" s="11" t="s">
        <v>10901</v>
      </c>
      <c r="H2469" s="12">
        <v>40</v>
      </c>
      <c r="I2469" s="13" t="s">
        <v>371</v>
      </c>
      <c r="J2469" s="13"/>
      <c r="K2469" s="13"/>
      <c r="L2469" s="4">
        <v>5</v>
      </c>
      <c r="M2469" s="14">
        <f>169*(1-P3/100)</f>
        <v>169</v>
      </c>
      <c r="N2469" s="15"/>
      <c r="O2469" s="13">
        <f t="shared" si="111"/>
        <v>0</v>
      </c>
      <c r="P2469" s="22">
        <f>0.108*N2469</f>
        <v>0</v>
      </c>
      <c r="Q2469" s="23">
        <f>0.00022*N2469</f>
        <v>0</v>
      </c>
      <c r="R2469" s="24"/>
      <c r="S2469" s="25" t="s">
        <v>10930</v>
      </c>
      <c r="T2469" s="25" t="s">
        <v>43</v>
      </c>
      <c r="U2469" s="5" t="s">
        <v>4057</v>
      </c>
      <c r="V2469" s="5" t="s">
        <v>10931</v>
      </c>
      <c r="W2469" s="5" t="s">
        <v>46</v>
      </c>
      <c r="X2469" s="5"/>
      <c r="Y2469" s="5"/>
      <c r="Z2469" s="5" t="str">
        <f>HYPERLINK("https://knigipp.ru/api/getInfo/image/faf6f8ba-66cd-11ef-a265-00155d82e908")</f>
        <v>https://knigipp.ru/api/getInfo/image/faf6f8ba-66cd-11ef-a265-00155d82e908</v>
      </c>
      <c r="AA2469" s="33">
        <v>10</v>
      </c>
      <c r="AB2469" s="5"/>
      <c r="AC2469" s="5" t="s">
        <v>140</v>
      </c>
      <c r="AD2469" s="5"/>
      <c r="AE2469" s="5" t="s">
        <v>49</v>
      </c>
      <c r="AF2469" s="5"/>
      <c r="AG2469" s="5" t="s">
        <v>10840</v>
      </c>
      <c r="AH2469" s="5" t="s">
        <v>10841</v>
      </c>
    </row>
    <row r="2470" spans="2:34" ht="21" customHeight="1" outlineLevel="4" x14ac:dyDescent="0.2">
      <c r="B2470" s="42">
        <v>1950</v>
      </c>
      <c r="C2470" s="5" t="s">
        <v>10932</v>
      </c>
      <c r="D2470" s="5" t="s">
        <v>10933</v>
      </c>
      <c r="E2470" s="6" t="s">
        <v>10934</v>
      </c>
      <c r="F2470" s="10"/>
      <c r="G2470" s="11" t="s">
        <v>10901</v>
      </c>
      <c r="H2470" s="12">
        <v>40</v>
      </c>
      <c r="I2470" s="13" t="s">
        <v>371</v>
      </c>
      <c r="J2470" s="13"/>
      <c r="K2470" s="13"/>
      <c r="L2470" s="4">
        <v>5</v>
      </c>
      <c r="M2470" s="14">
        <f>169*(1-P3/100)</f>
        <v>169</v>
      </c>
      <c r="N2470" s="15"/>
      <c r="O2470" s="13">
        <f t="shared" si="111"/>
        <v>0</v>
      </c>
      <c r="P2470" s="22">
        <f>0.108*N2470</f>
        <v>0</v>
      </c>
      <c r="Q2470" s="23">
        <f>0.00022*N2470</f>
        <v>0</v>
      </c>
      <c r="R2470" s="24"/>
      <c r="S2470" s="25" t="s">
        <v>10935</v>
      </c>
      <c r="T2470" s="25" t="s">
        <v>43</v>
      </c>
      <c r="U2470" s="5" t="s">
        <v>4057</v>
      </c>
      <c r="V2470" s="5" t="s">
        <v>10936</v>
      </c>
      <c r="W2470" s="5" t="s">
        <v>46</v>
      </c>
      <c r="X2470" s="5"/>
      <c r="Y2470" s="5"/>
      <c r="Z2470" s="5" t="str">
        <f>HYPERLINK("https://knigipp.ru/api/getInfo/image/91e2b85b-3553-11ef-a261-00155d82e908")</f>
        <v>https://knigipp.ru/api/getInfo/image/91e2b85b-3553-11ef-a261-00155d82e908</v>
      </c>
      <c r="AA2470" s="33">
        <v>10</v>
      </c>
      <c r="AB2470" s="5"/>
      <c r="AC2470" s="5" t="s">
        <v>140</v>
      </c>
      <c r="AD2470" s="5"/>
      <c r="AE2470" s="5" t="s">
        <v>49</v>
      </c>
      <c r="AF2470" s="5"/>
      <c r="AG2470" s="5" t="s">
        <v>10840</v>
      </c>
      <c r="AH2470" s="5" t="s">
        <v>10841</v>
      </c>
    </row>
    <row r="2471" spans="2:34" ht="21" customHeight="1" outlineLevel="4" x14ac:dyDescent="0.2">
      <c r="B2471" s="42">
        <v>1951</v>
      </c>
      <c r="C2471" s="5" t="s">
        <v>10937</v>
      </c>
      <c r="D2471" s="5" t="s">
        <v>10938</v>
      </c>
      <c r="E2471" s="6" t="s">
        <v>10939</v>
      </c>
      <c r="F2471" s="10"/>
      <c r="G2471" s="11"/>
      <c r="H2471" s="12">
        <v>40</v>
      </c>
      <c r="I2471" s="13" t="s">
        <v>371</v>
      </c>
      <c r="J2471" s="13"/>
      <c r="K2471" s="13"/>
      <c r="L2471" s="4">
        <v>5</v>
      </c>
      <c r="M2471" s="14">
        <f>169*(1-P3/100)</f>
        <v>169</v>
      </c>
      <c r="N2471" s="15"/>
      <c r="O2471" s="13">
        <f t="shared" si="111"/>
        <v>0</v>
      </c>
      <c r="P2471" s="22">
        <f>0.112*N2471</f>
        <v>0</v>
      </c>
      <c r="Q2471" s="23">
        <f>0.00018*N2471</f>
        <v>0</v>
      </c>
      <c r="R2471" s="24"/>
      <c r="S2471" s="25" t="s">
        <v>10940</v>
      </c>
      <c r="T2471" s="25" t="s">
        <v>43</v>
      </c>
      <c r="U2471" s="5" t="s">
        <v>5271</v>
      </c>
      <c r="V2471" s="5"/>
      <c r="W2471" s="5" t="s">
        <v>46</v>
      </c>
      <c r="X2471" s="5"/>
      <c r="Y2471" s="5"/>
      <c r="Z2471" s="5" t="str">
        <f>HYPERLINK("https://knigipp.ru/api/getInfo/image/b9949998-8e12-11eb-a278-ac1f6b442184")</f>
        <v>https://knigipp.ru/api/getInfo/image/b9949998-8e12-11eb-a278-ac1f6b442184</v>
      </c>
      <c r="AA2471" s="33">
        <v>10</v>
      </c>
      <c r="AB2471" s="5" t="s">
        <v>47</v>
      </c>
      <c r="AC2471" s="5" t="s">
        <v>140</v>
      </c>
      <c r="AD2471" s="5"/>
      <c r="AE2471" s="5" t="s">
        <v>49</v>
      </c>
      <c r="AF2471" s="5"/>
      <c r="AG2471" s="5" t="s">
        <v>10840</v>
      </c>
      <c r="AH2471" s="5" t="s">
        <v>10841</v>
      </c>
    </row>
    <row r="2472" spans="2:34" ht="21" customHeight="1" outlineLevel="4" x14ac:dyDescent="0.2">
      <c r="B2472" s="42">
        <v>1952</v>
      </c>
      <c r="C2472" s="5" t="s">
        <v>10941</v>
      </c>
      <c r="D2472" s="5" t="s">
        <v>10942</v>
      </c>
      <c r="E2472" s="6" t="s">
        <v>10943</v>
      </c>
      <c r="F2472" s="10"/>
      <c r="G2472" s="11" t="s">
        <v>10884</v>
      </c>
      <c r="H2472" s="12">
        <v>40</v>
      </c>
      <c r="I2472" s="13" t="s">
        <v>41</v>
      </c>
      <c r="J2472" s="13"/>
      <c r="K2472" s="13"/>
      <c r="L2472" s="4">
        <v>5</v>
      </c>
      <c r="M2472" s="14">
        <f>169*(1-P3/100)</f>
        <v>169</v>
      </c>
      <c r="N2472" s="15"/>
      <c r="O2472" s="13">
        <f t="shared" si="111"/>
        <v>0</v>
      </c>
      <c r="P2472" s="32">
        <f>0.11*N2472</f>
        <v>0</v>
      </c>
      <c r="Q2472" s="23">
        <f>0.00029*N2472</f>
        <v>0</v>
      </c>
      <c r="R2472" s="24"/>
      <c r="S2472" s="25" t="s">
        <v>10944</v>
      </c>
      <c r="T2472" s="25" t="s">
        <v>43</v>
      </c>
      <c r="U2472" s="5" t="s">
        <v>9293</v>
      </c>
      <c r="V2472" s="5" t="s">
        <v>10945</v>
      </c>
      <c r="W2472" s="5" t="s">
        <v>46</v>
      </c>
      <c r="X2472" s="5"/>
      <c r="Y2472" s="5"/>
      <c r="Z2472" s="5" t="str">
        <f>HYPERLINK("https://knigipp.ru/api/getInfo/image/57cf2711-84c1-11f0-a284-00155d82e908")</f>
        <v>https://knigipp.ru/api/getInfo/image/57cf2711-84c1-11f0-a284-00155d82e908</v>
      </c>
      <c r="AA2472" s="33">
        <v>10</v>
      </c>
      <c r="AB2472" s="5" t="s">
        <v>47</v>
      </c>
      <c r="AC2472" s="5" t="s">
        <v>140</v>
      </c>
      <c r="AD2472" s="5"/>
      <c r="AE2472" s="5" t="s">
        <v>49</v>
      </c>
      <c r="AF2472" s="5"/>
      <c r="AG2472" s="5" t="s">
        <v>10840</v>
      </c>
      <c r="AH2472" s="5" t="s">
        <v>10841</v>
      </c>
    </row>
    <row r="2473" spans="2:34" ht="21" customHeight="1" outlineLevel="4" x14ac:dyDescent="0.2">
      <c r="B2473" s="42">
        <v>1953</v>
      </c>
      <c r="C2473" s="5" t="s">
        <v>10946</v>
      </c>
      <c r="D2473" s="5" t="s">
        <v>10947</v>
      </c>
      <c r="E2473" s="6" t="s">
        <v>10948</v>
      </c>
      <c r="F2473" s="10"/>
      <c r="G2473" s="11" t="s">
        <v>10836</v>
      </c>
      <c r="H2473" s="12">
        <v>40</v>
      </c>
      <c r="I2473" s="13" t="s">
        <v>261</v>
      </c>
      <c r="J2473" s="13"/>
      <c r="K2473" s="13"/>
      <c r="L2473" s="4">
        <v>5</v>
      </c>
      <c r="M2473" s="14">
        <f>169*(1-P3/100)</f>
        <v>169</v>
      </c>
      <c r="N2473" s="15"/>
      <c r="O2473" s="13">
        <f t="shared" si="111"/>
        <v>0</v>
      </c>
      <c r="P2473" s="22">
        <f>0.109*N2473</f>
        <v>0</v>
      </c>
      <c r="Q2473" s="23">
        <f>0.00015*N2473</f>
        <v>0</v>
      </c>
      <c r="R2473" s="24"/>
      <c r="S2473" s="25" t="s">
        <v>10949</v>
      </c>
      <c r="T2473" s="25" t="s">
        <v>43</v>
      </c>
      <c r="U2473" s="5"/>
      <c r="V2473" s="5" t="s">
        <v>10950</v>
      </c>
      <c r="W2473" s="5" t="s">
        <v>46</v>
      </c>
      <c r="X2473" s="5"/>
      <c r="Y2473" s="5"/>
      <c r="Z2473" s="5" t="str">
        <f>HYPERLINK("https://knigipp.ru/api/getInfo/image/004a2c66-421a-11f0-a27c-00155d82e908")</f>
        <v>https://knigipp.ru/api/getInfo/image/004a2c66-421a-11f0-a27c-00155d82e908</v>
      </c>
      <c r="AA2473" s="33">
        <v>10</v>
      </c>
      <c r="AB2473" s="5" t="s">
        <v>47</v>
      </c>
      <c r="AC2473" s="5" t="s">
        <v>140</v>
      </c>
      <c r="AD2473" s="5"/>
      <c r="AE2473" s="5" t="s">
        <v>49</v>
      </c>
      <c r="AF2473" s="5"/>
      <c r="AG2473" s="5" t="s">
        <v>10840</v>
      </c>
      <c r="AH2473" s="5" t="s">
        <v>10841</v>
      </c>
    </row>
    <row r="2474" spans="2:34" ht="21" customHeight="1" outlineLevel="4" x14ac:dyDescent="0.2">
      <c r="B2474" s="42">
        <v>1954</v>
      </c>
      <c r="C2474" s="5" t="s">
        <v>10951</v>
      </c>
      <c r="D2474" s="5" t="s">
        <v>10952</v>
      </c>
      <c r="E2474" s="6" t="s">
        <v>10953</v>
      </c>
      <c r="F2474" s="10"/>
      <c r="G2474" s="11" t="s">
        <v>10836</v>
      </c>
      <c r="H2474" s="12">
        <v>40</v>
      </c>
      <c r="I2474" s="13" t="s">
        <v>41</v>
      </c>
      <c r="J2474" s="13"/>
      <c r="K2474" s="13"/>
      <c r="L2474" s="4">
        <v>5</v>
      </c>
      <c r="M2474" s="14">
        <f>169*(1-P3/100)</f>
        <v>169</v>
      </c>
      <c r="N2474" s="15"/>
      <c r="O2474" s="13">
        <f t="shared" si="111"/>
        <v>0</v>
      </c>
      <c r="P2474" s="22">
        <f>0.139*N2474</f>
        <v>0</v>
      </c>
      <c r="Q2474" s="23">
        <f>0.00021*N2474</f>
        <v>0</v>
      </c>
      <c r="R2474" s="24"/>
      <c r="S2474" s="25" t="s">
        <v>10954</v>
      </c>
      <c r="T2474" s="25" t="s">
        <v>43</v>
      </c>
      <c r="U2474" s="5" t="s">
        <v>4057</v>
      </c>
      <c r="V2474" s="5"/>
      <c r="W2474" s="5" t="s">
        <v>46</v>
      </c>
      <c r="X2474" s="5" t="s">
        <v>10020</v>
      </c>
      <c r="Y2474" s="5"/>
      <c r="Z2474" s="5" t="str">
        <f>HYPERLINK("https://knigipp.ru/api/getInfo/image/7d917f36-c686-11e1-81d3-5ef3fc502493")</f>
        <v>https://knigipp.ru/api/getInfo/image/7d917f36-c686-11e1-81d3-5ef3fc502493</v>
      </c>
      <c r="AA2474" s="33">
        <v>10</v>
      </c>
      <c r="AB2474" s="5"/>
      <c r="AC2474" s="5" t="s">
        <v>140</v>
      </c>
      <c r="AD2474" s="5"/>
      <c r="AE2474" s="5" t="s">
        <v>49</v>
      </c>
      <c r="AF2474" s="5"/>
      <c r="AG2474" s="5" t="s">
        <v>10840</v>
      </c>
      <c r="AH2474" s="5" t="s">
        <v>10841</v>
      </c>
    </row>
    <row r="2475" spans="2:34" ht="21" customHeight="1" outlineLevel="4" x14ac:dyDescent="0.2">
      <c r="B2475" s="42">
        <v>1955</v>
      </c>
      <c r="C2475" s="5" t="s">
        <v>10955</v>
      </c>
      <c r="D2475" s="5" t="s">
        <v>10956</v>
      </c>
      <c r="E2475" s="6" t="s">
        <v>10957</v>
      </c>
      <c r="F2475" s="10"/>
      <c r="G2475" s="11" t="s">
        <v>10836</v>
      </c>
      <c r="H2475" s="12">
        <v>40</v>
      </c>
      <c r="I2475" s="13" t="s">
        <v>41</v>
      </c>
      <c r="J2475" s="13"/>
      <c r="K2475" s="13"/>
      <c r="L2475" s="4">
        <v>5</v>
      </c>
      <c r="M2475" s="14">
        <f>169*(1-P3/100)</f>
        <v>169</v>
      </c>
      <c r="N2475" s="15"/>
      <c r="O2475" s="13">
        <f t="shared" si="111"/>
        <v>0</v>
      </c>
      <c r="P2475" s="22">
        <f>0.107*N2475</f>
        <v>0</v>
      </c>
      <c r="Q2475" s="23">
        <f>0.00037*N2475</f>
        <v>0</v>
      </c>
      <c r="R2475" s="24"/>
      <c r="S2475" s="25" t="s">
        <v>10958</v>
      </c>
      <c r="T2475" s="25" t="s">
        <v>43</v>
      </c>
      <c r="U2475" s="5" t="s">
        <v>10959</v>
      </c>
      <c r="V2475" s="5" t="s">
        <v>10960</v>
      </c>
      <c r="W2475" s="5" t="s">
        <v>46</v>
      </c>
      <c r="X2475" s="5"/>
      <c r="Y2475" s="5"/>
      <c r="Z2475" s="5" t="str">
        <f>HYPERLINK("https://knigipp.ru/api/getInfo/image/1ad9f127-459c-11ef-a262-00155d82e908")</f>
        <v>https://knigipp.ru/api/getInfo/image/1ad9f127-459c-11ef-a262-00155d82e908</v>
      </c>
      <c r="AA2475" s="33">
        <v>10</v>
      </c>
      <c r="AB2475" s="5"/>
      <c r="AC2475" s="5" t="s">
        <v>140</v>
      </c>
      <c r="AD2475" s="5"/>
      <c r="AE2475" s="5" t="s">
        <v>49</v>
      </c>
      <c r="AF2475" s="5"/>
      <c r="AG2475" s="5" t="s">
        <v>10840</v>
      </c>
      <c r="AH2475" s="5" t="s">
        <v>10841</v>
      </c>
    </row>
    <row r="2476" spans="2:34" ht="21" customHeight="1" outlineLevel="4" x14ac:dyDescent="0.2">
      <c r="B2476" s="42">
        <v>1956</v>
      </c>
      <c r="C2476" s="5" t="s">
        <v>10961</v>
      </c>
      <c r="D2476" s="5" t="s">
        <v>10962</v>
      </c>
      <c r="E2476" s="6" t="s">
        <v>10963</v>
      </c>
      <c r="F2476" s="10"/>
      <c r="G2476" s="11" t="s">
        <v>10836</v>
      </c>
      <c r="H2476" s="12">
        <v>40</v>
      </c>
      <c r="I2476" s="13" t="s">
        <v>41</v>
      </c>
      <c r="J2476" s="13"/>
      <c r="K2476" s="13"/>
      <c r="L2476" s="4">
        <v>5</v>
      </c>
      <c r="M2476" s="14">
        <f>169*(1-P3/100)</f>
        <v>169</v>
      </c>
      <c r="N2476" s="15"/>
      <c r="O2476" s="13">
        <f t="shared" si="111"/>
        <v>0</v>
      </c>
      <c r="P2476" s="22">
        <f>0.139*N2476</f>
        <v>0</v>
      </c>
      <c r="Q2476" s="23">
        <f>0.00021*N2476</f>
        <v>0</v>
      </c>
      <c r="R2476" s="24"/>
      <c r="S2476" s="25" t="s">
        <v>10964</v>
      </c>
      <c r="T2476" s="25" t="s">
        <v>43</v>
      </c>
      <c r="U2476" s="5"/>
      <c r="V2476" s="5"/>
      <c r="W2476" s="5" t="s">
        <v>46</v>
      </c>
      <c r="X2476" s="5" t="s">
        <v>10965</v>
      </c>
      <c r="Y2476" s="5"/>
      <c r="Z2476" s="5" t="str">
        <f>HYPERLINK("https://knigipp.ru/api/getInfo/image/7d917f3a-c686-11e1-81d3-5ef3fc502493")</f>
        <v>https://knigipp.ru/api/getInfo/image/7d917f3a-c686-11e1-81d3-5ef3fc502493</v>
      </c>
      <c r="AA2476" s="33">
        <v>10</v>
      </c>
      <c r="AB2476" s="5"/>
      <c r="AC2476" s="5" t="s">
        <v>140</v>
      </c>
      <c r="AD2476" s="5"/>
      <c r="AE2476" s="5" t="s">
        <v>49</v>
      </c>
      <c r="AF2476" s="5"/>
      <c r="AG2476" s="5" t="s">
        <v>10840</v>
      </c>
      <c r="AH2476" s="5" t="s">
        <v>10841</v>
      </c>
    </row>
    <row r="2477" spans="2:34" ht="21" customHeight="1" outlineLevel="4" x14ac:dyDescent="0.2">
      <c r="B2477" s="42">
        <v>1957</v>
      </c>
      <c r="C2477" s="5" t="s">
        <v>10966</v>
      </c>
      <c r="D2477" s="5" t="s">
        <v>10967</v>
      </c>
      <c r="E2477" s="6" t="s">
        <v>10968</v>
      </c>
      <c r="F2477" s="10"/>
      <c r="G2477" s="11" t="s">
        <v>10836</v>
      </c>
      <c r="H2477" s="12">
        <v>40</v>
      </c>
      <c r="I2477" s="13" t="s">
        <v>41</v>
      </c>
      <c r="J2477" s="13"/>
      <c r="K2477" s="13"/>
      <c r="L2477" s="4">
        <v>5</v>
      </c>
      <c r="M2477" s="14">
        <f>169*(1-P3/100)</f>
        <v>169</v>
      </c>
      <c r="N2477" s="15"/>
      <c r="O2477" s="13">
        <f t="shared" si="111"/>
        <v>0</v>
      </c>
      <c r="P2477" s="22">
        <f>0.139*N2477</f>
        <v>0</v>
      </c>
      <c r="Q2477" s="23">
        <f>0.00021*N2477</f>
        <v>0</v>
      </c>
      <c r="R2477" s="24"/>
      <c r="S2477" s="25" t="s">
        <v>10969</v>
      </c>
      <c r="T2477" s="25" t="s">
        <v>43</v>
      </c>
      <c r="U2477" s="5"/>
      <c r="V2477" s="5"/>
      <c r="W2477" s="5" t="s">
        <v>46</v>
      </c>
      <c r="X2477" s="5" t="s">
        <v>10970</v>
      </c>
      <c r="Y2477" s="5"/>
      <c r="Z2477" s="5" t="str">
        <f>HYPERLINK("https://knigipp.ru/api/getInfo/image/7d917f3d-c686-11e1-81d3-5ef3fc502493")</f>
        <v>https://knigipp.ru/api/getInfo/image/7d917f3d-c686-11e1-81d3-5ef3fc502493</v>
      </c>
      <c r="AA2477" s="33">
        <v>10</v>
      </c>
      <c r="AB2477" s="5"/>
      <c r="AC2477" s="5" t="s">
        <v>140</v>
      </c>
      <c r="AD2477" s="5"/>
      <c r="AE2477" s="5" t="s">
        <v>49</v>
      </c>
      <c r="AF2477" s="5"/>
      <c r="AG2477" s="5" t="s">
        <v>10840</v>
      </c>
      <c r="AH2477" s="5" t="s">
        <v>10841</v>
      </c>
    </row>
    <row r="2478" spans="2:34" ht="21" customHeight="1" outlineLevel="4" x14ac:dyDescent="0.2">
      <c r="B2478" s="42">
        <v>1958</v>
      </c>
      <c r="C2478" s="5" t="s">
        <v>10971</v>
      </c>
      <c r="D2478" s="5" t="s">
        <v>10972</v>
      </c>
      <c r="E2478" s="6" t="s">
        <v>10973</v>
      </c>
      <c r="F2478" s="10"/>
      <c r="G2478" s="11" t="s">
        <v>10836</v>
      </c>
      <c r="H2478" s="12">
        <v>40</v>
      </c>
      <c r="I2478" s="13" t="s">
        <v>371</v>
      </c>
      <c r="J2478" s="13"/>
      <c r="K2478" s="13"/>
      <c r="L2478" s="4">
        <v>5</v>
      </c>
      <c r="M2478" s="14">
        <f>169*(1-P3/100)</f>
        <v>169</v>
      </c>
      <c r="N2478" s="15"/>
      <c r="O2478" s="13">
        <f t="shared" si="111"/>
        <v>0</v>
      </c>
      <c r="P2478" s="22">
        <f>0.105*N2478</f>
        <v>0</v>
      </c>
      <c r="Q2478" s="23">
        <f>0.00022*N2478</f>
        <v>0</v>
      </c>
      <c r="R2478" s="24"/>
      <c r="S2478" s="25" t="s">
        <v>10974</v>
      </c>
      <c r="T2478" s="25" t="s">
        <v>43</v>
      </c>
      <c r="U2478" s="5" t="s">
        <v>280</v>
      </c>
      <c r="V2478" s="5"/>
      <c r="W2478" s="5" t="s">
        <v>46</v>
      </c>
      <c r="X2478" s="5"/>
      <c r="Y2478" s="5"/>
      <c r="Z2478" s="5" t="str">
        <f>HYPERLINK("https://knigipp.ru/api/getInfo/image/8136a243-78b2-11ee-a248-00155d82e902")</f>
        <v>https://knigipp.ru/api/getInfo/image/8136a243-78b2-11ee-a248-00155d82e902</v>
      </c>
      <c r="AA2478" s="33">
        <v>10</v>
      </c>
      <c r="AB2478" s="5"/>
      <c r="AC2478" s="5" t="s">
        <v>140</v>
      </c>
      <c r="AD2478" s="5"/>
      <c r="AE2478" s="5" t="s">
        <v>49</v>
      </c>
      <c r="AF2478" s="5"/>
      <c r="AG2478" s="5" t="s">
        <v>10840</v>
      </c>
      <c r="AH2478" s="5" t="s">
        <v>10841</v>
      </c>
    </row>
    <row r="2479" spans="2:34" ht="21" customHeight="1" outlineLevel="4" x14ac:dyDescent="0.2">
      <c r="B2479" s="42">
        <v>1959</v>
      </c>
      <c r="C2479" s="5" t="s">
        <v>10975</v>
      </c>
      <c r="D2479" s="5" t="s">
        <v>10976</v>
      </c>
      <c r="E2479" s="6" t="s">
        <v>10977</v>
      </c>
      <c r="F2479" s="10"/>
      <c r="G2479" s="11" t="s">
        <v>10884</v>
      </c>
      <c r="H2479" s="12">
        <v>40</v>
      </c>
      <c r="I2479" s="13" t="s">
        <v>41</v>
      </c>
      <c r="J2479" s="13"/>
      <c r="K2479" s="13"/>
      <c r="L2479" s="4">
        <v>5</v>
      </c>
      <c r="M2479" s="14">
        <f>169*(1-P3/100)</f>
        <v>169</v>
      </c>
      <c r="N2479" s="15"/>
      <c r="O2479" s="13">
        <f t="shared" si="111"/>
        <v>0</v>
      </c>
      <c r="P2479" s="22">
        <f>0.109*N2479</f>
        <v>0</v>
      </c>
      <c r="Q2479" s="23">
        <f>0.00011*N2479</f>
        <v>0</v>
      </c>
      <c r="R2479" s="24"/>
      <c r="S2479" s="25" t="s">
        <v>10978</v>
      </c>
      <c r="T2479" s="25" t="s">
        <v>43</v>
      </c>
      <c r="U2479" s="5" t="s">
        <v>10979</v>
      </c>
      <c r="V2479" s="5" t="s">
        <v>10980</v>
      </c>
      <c r="W2479" s="5" t="s">
        <v>46</v>
      </c>
      <c r="X2479" s="5"/>
      <c r="Y2479" s="5"/>
      <c r="Z2479" s="5" t="str">
        <f>HYPERLINK("https://knigipp.ru/api/getInfo/image/922412fc-55a6-11f0-a27e-00155d82e908")</f>
        <v>https://knigipp.ru/api/getInfo/image/922412fc-55a6-11f0-a27e-00155d82e908</v>
      </c>
      <c r="AA2479" s="33">
        <v>10</v>
      </c>
      <c r="AB2479" s="5" t="s">
        <v>47</v>
      </c>
      <c r="AC2479" s="5" t="s">
        <v>140</v>
      </c>
      <c r="AD2479" s="5"/>
      <c r="AE2479" s="5" t="s">
        <v>49</v>
      </c>
      <c r="AF2479" s="5"/>
      <c r="AG2479" s="5" t="s">
        <v>10840</v>
      </c>
      <c r="AH2479" s="5" t="s">
        <v>10841</v>
      </c>
    </row>
    <row r="2480" spans="2:34" ht="21" customHeight="1" outlineLevel="4" x14ac:dyDescent="0.2">
      <c r="B2480" s="42">
        <v>1960</v>
      </c>
      <c r="C2480" s="5" t="s">
        <v>10981</v>
      </c>
      <c r="D2480" s="5" t="s">
        <v>10982</v>
      </c>
      <c r="E2480" s="6" t="s">
        <v>10983</v>
      </c>
      <c r="F2480" s="10"/>
      <c r="G2480" s="11" t="s">
        <v>10836</v>
      </c>
      <c r="H2480" s="12">
        <v>40</v>
      </c>
      <c r="I2480" s="13" t="s">
        <v>371</v>
      </c>
      <c r="J2480" s="13"/>
      <c r="K2480" s="13"/>
      <c r="L2480" s="4">
        <v>5</v>
      </c>
      <c r="M2480" s="14">
        <f>169*(1-P3/100)</f>
        <v>169</v>
      </c>
      <c r="N2480" s="15"/>
      <c r="O2480" s="13">
        <f t="shared" si="111"/>
        <v>0</v>
      </c>
      <c r="P2480" s="22">
        <f>0.139*N2480</f>
        <v>0</v>
      </c>
      <c r="Q2480" s="23">
        <f>0.00021*N2480</f>
        <v>0</v>
      </c>
      <c r="R2480" s="24"/>
      <c r="S2480" s="25" t="s">
        <v>10984</v>
      </c>
      <c r="T2480" s="25" t="s">
        <v>43</v>
      </c>
      <c r="U2480" s="5" t="s">
        <v>10985</v>
      </c>
      <c r="V2480" s="5"/>
      <c r="W2480" s="5" t="s">
        <v>46</v>
      </c>
      <c r="X2480" s="5" t="s">
        <v>10965</v>
      </c>
      <c r="Y2480" s="5"/>
      <c r="Z2480" s="5" t="str">
        <f>HYPERLINK("https://knigipp.ru/api/getInfo/image/7d917f48-c686-11e1-81d3-5ef3fc502493")</f>
        <v>https://knigipp.ru/api/getInfo/image/7d917f48-c686-11e1-81d3-5ef3fc502493</v>
      </c>
      <c r="AA2480" s="33">
        <v>10</v>
      </c>
      <c r="AB2480" s="5"/>
      <c r="AC2480" s="5" t="s">
        <v>140</v>
      </c>
      <c r="AD2480" s="5"/>
      <c r="AE2480" s="5" t="s">
        <v>49</v>
      </c>
      <c r="AF2480" s="5"/>
      <c r="AG2480" s="5" t="s">
        <v>10840</v>
      </c>
      <c r="AH2480" s="5" t="s">
        <v>10841</v>
      </c>
    </row>
    <row r="2481" spans="2:34" ht="21" customHeight="1" outlineLevel="4" x14ac:dyDescent="0.2">
      <c r="B2481" s="42">
        <v>1961</v>
      </c>
      <c r="C2481" s="5" t="s">
        <v>10986</v>
      </c>
      <c r="D2481" s="5" t="s">
        <v>10987</v>
      </c>
      <c r="E2481" s="6" t="s">
        <v>10988</v>
      </c>
      <c r="F2481" s="10"/>
      <c r="G2481" s="11" t="s">
        <v>10836</v>
      </c>
      <c r="H2481" s="12">
        <v>40</v>
      </c>
      <c r="I2481" s="13" t="s">
        <v>41</v>
      </c>
      <c r="J2481" s="13"/>
      <c r="K2481" s="13"/>
      <c r="L2481" s="4">
        <v>5</v>
      </c>
      <c r="M2481" s="14">
        <f>169*(1-P3/100)</f>
        <v>169</v>
      </c>
      <c r="N2481" s="15"/>
      <c r="O2481" s="13">
        <f t="shared" si="111"/>
        <v>0</v>
      </c>
      <c r="P2481" s="22">
        <f>0.109*N2481</f>
        <v>0</v>
      </c>
      <c r="Q2481" s="23">
        <f>0.00022*N2481</f>
        <v>0</v>
      </c>
      <c r="R2481" s="24"/>
      <c r="S2481" s="25" t="s">
        <v>10989</v>
      </c>
      <c r="T2481" s="25" t="s">
        <v>43</v>
      </c>
      <c r="U2481" s="5"/>
      <c r="V2481" s="5" t="s">
        <v>10990</v>
      </c>
      <c r="W2481" s="5" t="s">
        <v>46</v>
      </c>
      <c r="X2481" s="5"/>
      <c r="Y2481" s="5"/>
      <c r="Z2481" s="5" t="str">
        <f>HYPERLINK("https://knigipp.ru/api/getInfo/image/ecae7a39-55a6-11f0-a27e-00155d82e908")</f>
        <v>https://knigipp.ru/api/getInfo/image/ecae7a39-55a6-11f0-a27e-00155d82e908</v>
      </c>
      <c r="AA2481" s="33">
        <v>10</v>
      </c>
      <c r="AB2481" s="5" t="s">
        <v>47</v>
      </c>
      <c r="AC2481" s="5" t="s">
        <v>140</v>
      </c>
      <c r="AD2481" s="5"/>
      <c r="AE2481" s="5" t="s">
        <v>49</v>
      </c>
      <c r="AF2481" s="5"/>
      <c r="AG2481" s="5" t="s">
        <v>10840</v>
      </c>
      <c r="AH2481" s="5" t="s">
        <v>10841</v>
      </c>
    </row>
    <row r="2482" spans="2:34" ht="21" customHeight="1" outlineLevel="4" x14ac:dyDescent="0.2">
      <c r="B2482" s="42">
        <v>1962</v>
      </c>
      <c r="C2482" s="5" t="s">
        <v>10991</v>
      </c>
      <c r="D2482" s="5" t="s">
        <v>10992</v>
      </c>
      <c r="E2482" s="6" t="s">
        <v>10993</v>
      </c>
      <c r="F2482" s="10"/>
      <c r="G2482" s="11" t="s">
        <v>10836</v>
      </c>
      <c r="H2482" s="12">
        <v>40</v>
      </c>
      <c r="I2482" s="13" t="s">
        <v>261</v>
      </c>
      <c r="J2482" s="13"/>
      <c r="K2482" s="13"/>
      <c r="L2482" s="4">
        <v>5</v>
      </c>
      <c r="M2482" s="14">
        <f>169*(1-P3/100)</f>
        <v>169</v>
      </c>
      <c r="N2482" s="15"/>
      <c r="O2482" s="13">
        <f t="shared" si="111"/>
        <v>0</v>
      </c>
      <c r="P2482" s="22">
        <f>0.108*N2482</f>
        <v>0</v>
      </c>
      <c r="Q2482" s="30">
        <f>0.0004*N2482</f>
        <v>0</v>
      </c>
      <c r="R2482" s="24"/>
      <c r="S2482" s="25" t="s">
        <v>10994</v>
      </c>
      <c r="T2482" s="25" t="s">
        <v>43</v>
      </c>
      <c r="U2482" s="5"/>
      <c r="V2482" s="5"/>
      <c r="W2482" s="5" t="s">
        <v>46</v>
      </c>
      <c r="X2482" s="5" t="s">
        <v>253</v>
      </c>
      <c r="Y2482" s="5"/>
      <c r="Z2482" s="5" t="str">
        <f>HYPERLINK("https://knigipp.ru/api/getInfo/image/7d917f51-c686-11e1-81d3-5ef3fc502493")</f>
        <v>https://knigipp.ru/api/getInfo/image/7d917f51-c686-11e1-81d3-5ef3fc502493</v>
      </c>
      <c r="AA2482" s="33">
        <v>10</v>
      </c>
      <c r="AB2482" s="5"/>
      <c r="AC2482" s="5" t="s">
        <v>140</v>
      </c>
      <c r="AD2482" s="5"/>
      <c r="AE2482" s="5" t="s">
        <v>49</v>
      </c>
      <c r="AF2482" s="5"/>
      <c r="AG2482" s="5" t="s">
        <v>10840</v>
      </c>
      <c r="AH2482" s="5" t="s">
        <v>10841</v>
      </c>
    </row>
    <row r="2483" spans="2:34" ht="21" customHeight="1" outlineLevel="4" x14ac:dyDescent="0.2">
      <c r="B2483" s="42">
        <v>1963</v>
      </c>
      <c r="C2483" s="5" t="s">
        <v>10995</v>
      </c>
      <c r="D2483" s="5" t="s">
        <v>10996</v>
      </c>
      <c r="E2483" s="6" t="s">
        <v>10997</v>
      </c>
      <c r="F2483" s="10"/>
      <c r="G2483" s="11" t="s">
        <v>10836</v>
      </c>
      <c r="H2483" s="12">
        <v>40</v>
      </c>
      <c r="I2483" s="13" t="s">
        <v>41</v>
      </c>
      <c r="J2483" s="13"/>
      <c r="K2483" s="13"/>
      <c r="L2483" s="4">
        <v>5</v>
      </c>
      <c r="M2483" s="14">
        <f>169*(1-P3/100)</f>
        <v>169</v>
      </c>
      <c r="N2483" s="15"/>
      <c r="O2483" s="13">
        <f t="shared" si="111"/>
        <v>0</v>
      </c>
      <c r="P2483" s="32">
        <f>0.11*N2483</f>
        <v>0</v>
      </c>
      <c r="Q2483" s="23">
        <f>0.00018*N2483</f>
        <v>0</v>
      </c>
      <c r="R2483" s="24"/>
      <c r="S2483" s="25" t="s">
        <v>10998</v>
      </c>
      <c r="T2483" s="25" t="s">
        <v>43</v>
      </c>
      <c r="U2483" s="5"/>
      <c r="V2483" s="5" t="s">
        <v>10999</v>
      </c>
      <c r="W2483" s="5" t="s">
        <v>46</v>
      </c>
      <c r="X2483" s="5"/>
      <c r="Y2483" s="5"/>
      <c r="Z2483" s="5" t="str">
        <f>HYPERLINK("https://knigipp.ru/api/getInfo/image/ef889597-6e11-11f0-a284-00155d82e908")</f>
        <v>https://knigipp.ru/api/getInfo/image/ef889597-6e11-11f0-a284-00155d82e908</v>
      </c>
      <c r="AA2483" s="33">
        <v>10</v>
      </c>
      <c r="AB2483" s="5" t="s">
        <v>47</v>
      </c>
      <c r="AC2483" s="5" t="s">
        <v>140</v>
      </c>
      <c r="AD2483" s="5"/>
      <c r="AE2483" s="5" t="s">
        <v>49</v>
      </c>
      <c r="AF2483" s="5"/>
      <c r="AG2483" s="5" t="s">
        <v>10840</v>
      </c>
      <c r="AH2483" s="5" t="s">
        <v>10841</v>
      </c>
    </row>
    <row r="2484" spans="2:34" ht="21" customHeight="1" outlineLevel="4" x14ac:dyDescent="0.2">
      <c r="B2484" s="42">
        <v>1964</v>
      </c>
      <c r="C2484" s="5" t="s">
        <v>11000</v>
      </c>
      <c r="D2484" s="5" t="s">
        <v>11001</v>
      </c>
      <c r="E2484" s="6" t="s">
        <v>11002</v>
      </c>
      <c r="F2484" s="10"/>
      <c r="G2484" s="11" t="s">
        <v>10836</v>
      </c>
      <c r="H2484" s="12">
        <v>40</v>
      </c>
      <c r="I2484" s="13" t="s">
        <v>41</v>
      </c>
      <c r="J2484" s="13"/>
      <c r="K2484" s="13"/>
      <c r="L2484" s="4">
        <v>5</v>
      </c>
      <c r="M2484" s="14">
        <f>169*(1-P3/100)</f>
        <v>169</v>
      </c>
      <c r="N2484" s="15"/>
      <c r="O2484" s="13">
        <f t="shared" si="111"/>
        <v>0</v>
      </c>
      <c r="P2484" s="32">
        <f>0.11*N2484</f>
        <v>0</v>
      </c>
      <c r="Q2484" s="23">
        <f>0.00025*N2484</f>
        <v>0</v>
      </c>
      <c r="R2484" s="24"/>
      <c r="S2484" s="25" t="s">
        <v>11003</v>
      </c>
      <c r="T2484" s="25" t="s">
        <v>43</v>
      </c>
      <c r="U2484" s="5"/>
      <c r="V2484" s="5"/>
      <c r="W2484" s="5" t="s">
        <v>46</v>
      </c>
      <c r="X2484" s="5" t="s">
        <v>5295</v>
      </c>
      <c r="Y2484" s="5"/>
      <c r="Z2484" s="5" t="str">
        <f>HYPERLINK("https://knigipp.ru/api/getInfo/image/7d917f57-c686-11e1-81d3-5ef3fc502493")</f>
        <v>https://knigipp.ru/api/getInfo/image/7d917f57-c686-11e1-81d3-5ef3fc502493</v>
      </c>
      <c r="AA2484" s="33">
        <v>10</v>
      </c>
      <c r="AB2484" s="5"/>
      <c r="AC2484" s="5" t="s">
        <v>140</v>
      </c>
      <c r="AD2484" s="5"/>
      <c r="AE2484" s="5" t="s">
        <v>49</v>
      </c>
      <c r="AF2484" s="5"/>
      <c r="AG2484" s="5" t="s">
        <v>10840</v>
      </c>
      <c r="AH2484" s="5" t="s">
        <v>10841</v>
      </c>
    </row>
    <row r="2485" spans="2:34" ht="21" customHeight="1" outlineLevel="4" x14ac:dyDescent="0.2">
      <c r="B2485" s="42">
        <v>1965</v>
      </c>
      <c r="C2485" s="5" t="s">
        <v>11004</v>
      </c>
      <c r="D2485" s="5" t="s">
        <v>11005</v>
      </c>
      <c r="E2485" s="6" t="s">
        <v>11006</v>
      </c>
      <c r="F2485" s="10"/>
      <c r="G2485" s="11" t="s">
        <v>10836</v>
      </c>
      <c r="H2485" s="12">
        <v>40</v>
      </c>
      <c r="I2485" s="13" t="s">
        <v>261</v>
      </c>
      <c r="J2485" s="13"/>
      <c r="K2485" s="13"/>
      <c r="L2485" s="4">
        <v>5</v>
      </c>
      <c r="M2485" s="14">
        <f>169*(1-P3/100)</f>
        <v>169</v>
      </c>
      <c r="N2485" s="15"/>
      <c r="O2485" s="13">
        <f t="shared" si="111"/>
        <v>0</v>
      </c>
      <c r="P2485" s="22">
        <f>0.107*N2485</f>
        <v>0</v>
      </c>
      <c r="Q2485" s="30">
        <f>0.0003*N2485</f>
        <v>0</v>
      </c>
      <c r="R2485" s="24"/>
      <c r="S2485" s="25" t="s">
        <v>11007</v>
      </c>
      <c r="T2485" s="25" t="s">
        <v>43</v>
      </c>
      <c r="U2485" s="5"/>
      <c r="V2485" s="5"/>
      <c r="W2485" s="5" t="s">
        <v>46</v>
      </c>
      <c r="X2485" s="5" t="s">
        <v>11008</v>
      </c>
      <c r="Y2485" s="5"/>
      <c r="Z2485" s="5" t="str">
        <f>HYPERLINK("https://knigipp.ru/api/getInfo/image/7d917f5a-c686-11e1-81d3-5ef3fc502493")</f>
        <v>https://knigipp.ru/api/getInfo/image/7d917f5a-c686-11e1-81d3-5ef3fc502493</v>
      </c>
      <c r="AA2485" s="33">
        <v>10</v>
      </c>
      <c r="AB2485" s="5"/>
      <c r="AC2485" s="5" t="s">
        <v>140</v>
      </c>
      <c r="AD2485" s="5"/>
      <c r="AE2485" s="5" t="s">
        <v>49</v>
      </c>
      <c r="AF2485" s="5"/>
      <c r="AG2485" s="5" t="s">
        <v>10840</v>
      </c>
      <c r="AH2485" s="5" t="s">
        <v>10841</v>
      </c>
    </row>
    <row r="2486" spans="2:34" ht="21" customHeight="1" outlineLevel="4" x14ac:dyDescent="0.2">
      <c r="B2486" s="42">
        <v>1966</v>
      </c>
      <c r="C2486" s="5" t="s">
        <v>11009</v>
      </c>
      <c r="D2486" s="5" t="s">
        <v>11010</v>
      </c>
      <c r="E2486" s="6" t="s">
        <v>11011</v>
      </c>
      <c r="F2486" s="10"/>
      <c r="G2486" s="11" t="s">
        <v>10836</v>
      </c>
      <c r="H2486" s="12">
        <v>40</v>
      </c>
      <c r="I2486" s="13" t="s">
        <v>41</v>
      </c>
      <c r="J2486" s="13"/>
      <c r="K2486" s="13"/>
      <c r="L2486" s="4">
        <v>5</v>
      </c>
      <c r="M2486" s="14">
        <f>169*(1-P3/100)</f>
        <v>169</v>
      </c>
      <c r="N2486" s="15"/>
      <c r="O2486" s="13">
        <f t="shared" si="111"/>
        <v>0</v>
      </c>
      <c r="P2486" s="22">
        <f>0.139*N2486</f>
        <v>0</v>
      </c>
      <c r="Q2486" s="23">
        <f>0.00021*N2486</f>
        <v>0</v>
      </c>
      <c r="R2486" s="24"/>
      <c r="S2486" s="25" t="s">
        <v>11012</v>
      </c>
      <c r="T2486" s="25" t="s">
        <v>43</v>
      </c>
      <c r="U2486" s="5" t="s">
        <v>9254</v>
      </c>
      <c r="V2486" s="5"/>
      <c r="W2486" s="5" t="s">
        <v>46</v>
      </c>
      <c r="X2486" s="5" t="s">
        <v>253</v>
      </c>
      <c r="Y2486" s="5"/>
      <c r="Z2486" s="5" t="str">
        <f>HYPERLINK("https://knigipp.ru/api/getInfo/image/7d917f5f-c686-11e1-81d3-5ef3fc502493")</f>
        <v>https://knigipp.ru/api/getInfo/image/7d917f5f-c686-11e1-81d3-5ef3fc502493</v>
      </c>
      <c r="AA2486" s="33">
        <v>10</v>
      </c>
      <c r="AB2486" s="5"/>
      <c r="AC2486" s="5" t="s">
        <v>140</v>
      </c>
      <c r="AD2486" s="5"/>
      <c r="AE2486" s="5" t="s">
        <v>49</v>
      </c>
      <c r="AF2486" s="5"/>
      <c r="AG2486" s="5" t="s">
        <v>10840</v>
      </c>
      <c r="AH2486" s="5" t="s">
        <v>10841</v>
      </c>
    </row>
    <row r="2487" spans="2:34" ht="21" customHeight="1" outlineLevel="4" x14ac:dyDescent="0.2">
      <c r="B2487" s="42">
        <v>1967</v>
      </c>
      <c r="C2487" s="5" t="s">
        <v>11013</v>
      </c>
      <c r="D2487" s="5" t="s">
        <v>11014</v>
      </c>
      <c r="E2487" s="6" t="s">
        <v>11015</v>
      </c>
      <c r="F2487" s="10"/>
      <c r="G2487" s="11" t="s">
        <v>10836</v>
      </c>
      <c r="H2487" s="12">
        <v>40</v>
      </c>
      <c r="I2487" s="13" t="s">
        <v>371</v>
      </c>
      <c r="J2487" s="13"/>
      <c r="K2487" s="13"/>
      <c r="L2487" s="4">
        <v>5</v>
      </c>
      <c r="M2487" s="14">
        <f>169*(1-P3/100)</f>
        <v>169</v>
      </c>
      <c r="N2487" s="15"/>
      <c r="O2487" s="13">
        <f t="shared" si="111"/>
        <v>0</v>
      </c>
      <c r="P2487" s="22">
        <f>0.139*N2487</f>
        <v>0</v>
      </c>
      <c r="Q2487" s="23">
        <f>0.00021*N2487</f>
        <v>0</v>
      </c>
      <c r="R2487" s="24"/>
      <c r="S2487" s="25" t="s">
        <v>11016</v>
      </c>
      <c r="T2487" s="25" t="s">
        <v>43</v>
      </c>
      <c r="U2487" s="5" t="s">
        <v>10447</v>
      </c>
      <c r="V2487" s="5"/>
      <c r="W2487" s="5" t="s">
        <v>46</v>
      </c>
      <c r="X2487" s="5" t="s">
        <v>10965</v>
      </c>
      <c r="Y2487" s="5"/>
      <c r="Z2487" s="5" t="str">
        <f>HYPERLINK("https://knigipp.ru/api/getInfo/image/7d917f60-c686-11e1-81d3-5ef3fc502493")</f>
        <v>https://knigipp.ru/api/getInfo/image/7d917f60-c686-11e1-81d3-5ef3fc502493</v>
      </c>
      <c r="AA2487" s="33">
        <v>10</v>
      </c>
      <c r="AB2487" s="5"/>
      <c r="AC2487" s="5" t="s">
        <v>140</v>
      </c>
      <c r="AD2487" s="5"/>
      <c r="AE2487" s="5" t="s">
        <v>49</v>
      </c>
      <c r="AF2487" s="5"/>
      <c r="AG2487" s="5" t="s">
        <v>10840</v>
      </c>
      <c r="AH2487" s="5" t="s">
        <v>10841</v>
      </c>
    </row>
    <row r="2488" spans="2:34" ht="21" customHeight="1" outlineLevel="4" x14ac:dyDescent="0.2">
      <c r="B2488" s="42">
        <v>1968</v>
      </c>
      <c r="C2488" s="5" t="s">
        <v>11017</v>
      </c>
      <c r="D2488" s="5" t="s">
        <v>11018</v>
      </c>
      <c r="E2488" s="6" t="s">
        <v>11019</v>
      </c>
      <c r="F2488" s="10"/>
      <c r="G2488" s="11" t="s">
        <v>10879</v>
      </c>
      <c r="H2488" s="12">
        <v>40</v>
      </c>
      <c r="I2488" s="13" t="s">
        <v>371</v>
      </c>
      <c r="J2488" s="13"/>
      <c r="K2488" s="13"/>
      <c r="L2488" s="4">
        <v>5</v>
      </c>
      <c r="M2488" s="14">
        <f>169*(1-P3/100)</f>
        <v>169</v>
      </c>
      <c r="N2488" s="15"/>
      <c r="O2488" s="13">
        <f t="shared" si="111"/>
        <v>0</v>
      </c>
      <c r="P2488" s="22">
        <f>0.113*N2488</f>
        <v>0</v>
      </c>
      <c r="Q2488" s="23">
        <f>0.00039*N2488</f>
        <v>0</v>
      </c>
      <c r="R2488" s="24"/>
      <c r="S2488" s="25" t="s">
        <v>11020</v>
      </c>
      <c r="T2488" s="25" t="s">
        <v>43</v>
      </c>
      <c r="U2488" s="5" t="s">
        <v>128</v>
      </c>
      <c r="V2488" s="5" t="s">
        <v>11021</v>
      </c>
      <c r="W2488" s="5" t="s">
        <v>46</v>
      </c>
      <c r="X2488" s="5"/>
      <c r="Y2488" s="5"/>
      <c r="Z2488" s="5" t="str">
        <f>HYPERLINK("https://knigipp.ru/api/getInfo/image/34019c5b-4f3b-11ef-a262-00155d82e908")</f>
        <v>https://knigipp.ru/api/getInfo/image/34019c5b-4f3b-11ef-a262-00155d82e908</v>
      </c>
      <c r="AA2488" s="33">
        <v>10</v>
      </c>
      <c r="AB2488" s="5" t="s">
        <v>47</v>
      </c>
      <c r="AC2488" s="5" t="s">
        <v>140</v>
      </c>
      <c r="AD2488" s="5"/>
      <c r="AE2488" s="5" t="s">
        <v>49</v>
      </c>
      <c r="AF2488" s="5"/>
      <c r="AG2488" s="5" t="s">
        <v>10840</v>
      </c>
      <c r="AH2488" s="5" t="s">
        <v>10841</v>
      </c>
    </row>
    <row r="2489" spans="2:34" ht="21" customHeight="1" outlineLevel="4" x14ac:dyDescent="0.2">
      <c r="B2489" s="42">
        <v>1969</v>
      </c>
      <c r="C2489" s="5" t="s">
        <v>11022</v>
      </c>
      <c r="D2489" s="5" t="s">
        <v>11023</v>
      </c>
      <c r="E2489" s="6" t="s">
        <v>11024</v>
      </c>
      <c r="F2489" s="10"/>
      <c r="G2489" s="11" t="s">
        <v>10884</v>
      </c>
      <c r="H2489" s="12">
        <v>40</v>
      </c>
      <c r="I2489" s="13" t="s">
        <v>41</v>
      </c>
      <c r="J2489" s="13"/>
      <c r="K2489" s="13"/>
      <c r="L2489" s="4">
        <v>5</v>
      </c>
      <c r="M2489" s="14">
        <f>169*(1-P3/100)</f>
        <v>169</v>
      </c>
      <c r="N2489" s="15"/>
      <c r="O2489" s="13">
        <f t="shared" si="111"/>
        <v>0</v>
      </c>
      <c r="P2489" s="22">
        <f>0.118*N2489</f>
        <v>0</v>
      </c>
      <c r="Q2489" s="23">
        <f>0.00018*N2489</f>
        <v>0</v>
      </c>
      <c r="R2489" s="24"/>
      <c r="S2489" s="25" t="s">
        <v>11025</v>
      </c>
      <c r="T2489" s="25" t="s">
        <v>43</v>
      </c>
      <c r="U2489" s="5" t="s">
        <v>9531</v>
      </c>
      <c r="V2489" s="5" t="s">
        <v>11026</v>
      </c>
      <c r="W2489" s="5" t="s">
        <v>46</v>
      </c>
      <c r="X2489" s="5"/>
      <c r="Y2489" s="5"/>
      <c r="Z2489" s="5" t="str">
        <f>HYPERLINK("https://knigipp.ru/api/getInfo/image/af3e64a4-6e11-11f0-a284-00155d82e908")</f>
        <v>https://knigipp.ru/api/getInfo/image/af3e64a4-6e11-11f0-a284-00155d82e908</v>
      </c>
      <c r="AA2489" s="33">
        <v>10</v>
      </c>
      <c r="AB2489" s="5" t="s">
        <v>47</v>
      </c>
      <c r="AC2489" s="5" t="s">
        <v>140</v>
      </c>
      <c r="AD2489" s="5"/>
      <c r="AE2489" s="5" t="s">
        <v>49</v>
      </c>
      <c r="AF2489" s="5"/>
      <c r="AG2489" s="5" t="s">
        <v>10840</v>
      </c>
      <c r="AH2489" s="5" t="s">
        <v>10841</v>
      </c>
    </row>
    <row r="2490" spans="2:34" ht="21" customHeight="1" outlineLevel="4" x14ac:dyDescent="0.2">
      <c r="B2490" s="42">
        <v>1970</v>
      </c>
      <c r="C2490" s="5" t="s">
        <v>11027</v>
      </c>
      <c r="D2490" s="5" t="s">
        <v>11028</v>
      </c>
      <c r="E2490" s="6" t="s">
        <v>11029</v>
      </c>
      <c r="F2490" s="10"/>
      <c r="G2490" s="11" t="s">
        <v>10836</v>
      </c>
      <c r="H2490" s="12">
        <v>40</v>
      </c>
      <c r="I2490" s="13" t="s">
        <v>41</v>
      </c>
      <c r="J2490" s="13"/>
      <c r="K2490" s="13"/>
      <c r="L2490" s="4">
        <v>5</v>
      </c>
      <c r="M2490" s="14">
        <f>169*(1-P3/100)</f>
        <v>169</v>
      </c>
      <c r="N2490" s="15"/>
      <c r="O2490" s="13">
        <f t="shared" si="111"/>
        <v>0</v>
      </c>
      <c r="P2490" s="22">
        <f>0.139*N2490</f>
        <v>0</v>
      </c>
      <c r="Q2490" s="23">
        <f>0.00021*N2490</f>
        <v>0</v>
      </c>
      <c r="R2490" s="24"/>
      <c r="S2490" s="25" t="s">
        <v>11030</v>
      </c>
      <c r="T2490" s="25" t="s">
        <v>43</v>
      </c>
      <c r="U2490" s="5" t="s">
        <v>11031</v>
      </c>
      <c r="V2490" s="5"/>
      <c r="W2490" s="5" t="s">
        <v>46</v>
      </c>
      <c r="X2490" s="5" t="s">
        <v>253</v>
      </c>
      <c r="Y2490" s="5"/>
      <c r="Z2490" s="5" t="str">
        <f>HYPERLINK("https://knigipp.ru/api/getInfo/image/7d917f6d-c686-11e1-81d3-5ef3fc502493")</f>
        <v>https://knigipp.ru/api/getInfo/image/7d917f6d-c686-11e1-81d3-5ef3fc502493</v>
      </c>
      <c r="AA2490" s="33">
        <v>10</v>
      </c>
      <c r="AB2490" s="5"/>
      <c r="AC2490" s="5" t="s">
        <v>140</v>
      </c>
      <c r="AD2490" s="5"/>
      <c r="AE2490" s="5" t="s">
        <v>49</v>
      </c>
      <c r="AF2490" s="5"/>
      <c r="AG2490" s="5" t="s">
        <v>10840</v>
      </c>
      <c r="AH2490" s="5" t="s">
        <v>10841</v>
      </c>
    </row>
    <row r="2491" spans="2:34" ht="21" customHeight="1" outlineLevel="4" x14ac:dyDescent="0.2">
      <c r="B2491" s="42">
        <v>1971</v>
      </c>
      <c r="C2491" s="5" t="s">
        <v>11032</v>
      </c>
      <c r="D2491" s="5" t="s">
        <v>11033</v>
      </c>
      <c r="E2491" s="6" t="s">
        <v>11034</v>
      </c>
      <c r="F2491" s="10"/>
      <c r="G2491" s="11" t="s">
        <v>10836</v>
      </c>
      <c r="H2491" s="12">
        <v>40</v>
      </c>
      <c r="I2491" s="13" t="s">
        <v>41</v>
      </c>
      <c r="J2491" s="13"/>
      <c r="K2491" s="13"/>
      <c r="L2491" s="4">
        <v>5</v>
      </c>
      <c r="M2491" s="14">
        <f>169*(1-P3/100)</f>
        <v>169</v>
      </c>
      <c r="N2491" s="15"/>
      <c r="O2491" s="13">
        <f t="shared" si="111"/>
        <v>0</v>
      </c>
      <c r="P2491" s="22">
        <f>0.113*N2491</f>
        <v>0</v>
      </c>
      <c r="Q2491" s="23">
        <f>0.00017*N2491</f>
        <v>0</v>
      </c>
      <c r="R2491" s="24"/>
      <c r="S2491" s="25" t="s">
        <v>11035</v>
      </c>
      <c r="T2491" s="25" t="s">
        <v>43</v>
      </c>
      <c r="U2491" s="5" t="s">
        <v>7613</v>
      </c>
      <c r="V2491" s="5"/>
      <c r="W2491" s="5" t="s">
        <v>46</v>
      </c>
      <c r="X2491" s="5" t="s">
        <v>11036</v>
      </c>
      <c r="Y2491" s="5"/>
      <c r="Z2491" s="5" t="str">
        <f>HYPERLINK("https://knigipp.ru/api/getInfo/image/7d917f6e-c686-11e1-81d3-5ef3fc502493")</f>
        <v>https://knigipp.ru/api/getInfo/image/7d917f6e-c686-11e1-81d3-5ef3fc502493</v>
      </c>
      <c r="AA2491" s="33">
        <v>10</v>
      </c>
      <c r="AB2491" s="5"/>
      <c r="AC2491" s="5" t="s">
        <v>140</v>
      </c>
      <c r="AD2491" s="5"/>
      <c r="AE2491" s="5" t="s">
        <v>49</v>
      </c>
      <c r="AF2491" s="5"/>
      <c r="AG2491" s="5" t="s">
        <v>10840</v>
      </c>
      <c r="AH2491" s="5" t="s">
        <v>10841</v>
      </c>
    </row>
    <row r="2492" spans="2:34" ht="21" customHeight="1" outlineLevel="4" x14ac:dyDescent="0.2">
      <c r="B2492" s="42">
        <v>1972</v>
      </c>
      <c r="C2492" s="5" t="s">
        <v>11037</v>
      </c>
      <c r="D2492" s="5" t="s">
        <v>11038</v>
      </c>
      <c r="E2492" s="6" t="s">
        <v>11039</v>
      </c>
      <c r="F2492" s="10"/>
      <c r="G2492" s="11" t="s">
        <v>10879</v>
      </c>
      <c r="H2492" s="12">
        <v>40</v>
      </c>
      <c r="I2492" s="13" t="s">
        <v>261</v>
      </c>
      <c r="J2492" s="13"/>
      <c r="K2492" s="13"/>
      <c r="L2492" s="4">
        <v>5</v>
      </c>
      <c r="M2492" s="14">
        <f>169*(1-P3/100)</f>
        <v>169</v>
      </c>
      <c r="N2492" s="15"/>
      <c r="O2492" s="13">
        <f t="shared" si="111"/>
        <v>0</v>
      </c>
      <c r="P2492" s="32">
        <f>0.11*N2492</f>
        <v>0</v>
      </c>
      <c r="Q2492" s="23">
        <f>0.00018*N2492</f>
        <v>0</v>
      </c>
      <c r="R2492" s="24"/>
      <c r="S2492" s="25" t="s">
        <v>11040</v>
      </c>
      <c r="T2492" s="25" t="s">
        <v>43</v>
      </c>
      <c r="U2492" s="5" t="s">
        <v>128</v>
      </c>
      <c r="V2492" s="5" t="s">
        <v>11041</v>
      </c>
      <c r="W2492" s="5" t="s">
        <v>46</v>
      </c>
      <c r="X2492" s="5"/>
      <c r="Y2492" s="5"/>
      <c r="Z2492" s="5" t="str">
        <f>HYPERLINK("https://knigipp.ru/api/getInfo/image/65734990-4f3b-11ef-a262-00155d82e908")</f>
        <v>https://knigipp.ru/api/getInfo/image/65734990-4f3b-11ef-a262-00155d82e908</v>
      </c>
      <c r="AA2492" s="33">
        <v>10</v>
      </c>
      <c r="AB2492" s="5" t="s">
        <v>47</v>
      </c>
      <c r="AC2492" s="5" t="s">
        <v>140</v>
      </c>
      <c r="AD2492" s="5"/>
      <c r="AE2492" s="5" t="s">
        <v>49</v>
      </c>
      <c r="AF2492" s="5"/>
      <c r="AG2492" s="5" t="s">
        <v>10840</v>
      </c>
      <c r="AH2492" s="5" t="s">
        <v>10841</v>
      </c>
    </row>
    <row r="2493" spans="2:34" ht="21" customHeight="1" outlineLevel="4" x14ac:dyDescent="0.2">
      <c r="B2493" s="42">
        <v>1973</v>
      </c>
      <c r="C2493" s="5" t="s">
        <v>11042</v>
      </c>
      <c r="D2493" s="5" t="s">
        <v>11043</v>
      </c>
      <c r="E2493" s="6" t="s">
        <v>11044</v>
      </c>
      <c r="F2493" s="10"/>
      <c r="G2493" s="11" t="s">
        <v>10836</v>
      </c>
      <c r="H2493" s="12">
        <v>40</v>
      </c>
      <c r="I2493" s="13" t="s">
        <v>41</v>
      </c>
      <c r="J2493" s="13"/>
      <c r="K2493" s="13"/>
      <c r="L2493" s="4">
        <v>5</v>
      </c>
      <c r="M2493" s="14">
        <f>169*(1-P3/100)</f>
        <v>169</v>
      </c>
      <c r="N2493" s="15"/>
      <c r="O2493" s="13">
        <f t="shared" si="111"/>
        <v>0</v>
      </c>
      <c r="P2493" s="22">
        <f>0.107*N2493</f>
        <v>0</v>
      </c>
      <c r="Q2493" s="23">
        <f>0.00051*N2493</f>
        <v>0</v>
      </c>
      <c r="R2493" s="24"/>
      <c r="S2493" s="25" t="s">
        <v>11045</v>
      </c>
      <c r="T2493" s="25" t="s">
        <v>43</v>
      </c>
      <c r="U2493" s="5" t="s">
        <v>5271</v>
      </c>
      <c r="V2493" s="5" t="s">
        <v>11046</v>
      </c>
      <c r="W2493" s="5" t="s">
        <v>46</v>
      </c>
      <c r="X2493" s="5"/>
      <c r="Y2493" s="5"/>
      <c r="Z2493" s="5" t="str">
        <f>HYPERLINK("https://knigipp.ru/api/getInfo/image/49e70fe7-f59c-11ee-a25b-00155d82e908")</f>
        <v>https://knigipp.ru/api/getInfo/image/49e70fe7-f59c-11ee-a25b-00155d82e908</v>
      </c>
      <c r="AA2493" s="33">
        <v>10</v>
      </c>
      <c r="AB2493" s="5" t="s">
        <v>47</v>
      </c>
      <c r="AC2493" s="5" t="s">
        <v>140</v>
      </c>
      <c r="AD2493" s="5"/>
      <c r="AE2493" s="5" t="s">
        <v>49</v>
      </c>
      <c r="AF2493" s="5"/>
      <c r="AG2493" s="5"/>
      <c r="AH2493" s="5" t="s">
        <v>10841</v>
      </c>
    </row>
    <row r="2494" spans="2:34" ht="21" customHeight="1" outlineLevel="4" x14ac:dyDescent="0.2">
      <c r="B2494" s="42">
        <v>1974</v>
      </c>
      <c r="C2494" s="5" t="s">
        <v>11047</v>
      </c>
      <c r="D2494" s="5" t="s">
        <v>11048</v>
      </c>
      <c r="E2494" s="6" t="s">
        <v>11049</v>
      </c>
      <c r="F2494" s="10"/>
      <c r="G2494" s="11" t="s">
        <v>10836</v>
      </c>
      <c r="H2494" s="12">
        <v>40</v>
      </c>
      <c r="I2494" s="13" t="s">
        <v>41</v>
      </c>
      <c r="J2494" s="13"/>
      <c r="K2494" s="13"/>
      <c r="L2494" s="4">
        <v>5</v>
      </c>
      <c r="M2494" s="14">
        <f>169*(1-P3/100)</f>
        <v>169</v>
      </c>
      <c r="N2494" s="15"/>
      <c r="O2494" s="13">
        <f t="shared" si="111"/>
        <v>0</v>
      </c>
      <c r="P2494" s="22">
        <f>0.139*N2494</f>
        <v>0</v>
      </c>
      <c r="Q2494" s="23">
        <f>0.00021*N2494</f>
        <v>0</v>
      </c>
      <c r="R2494" s="24"/>
      <c r="S2494" s="25" t="s">
        <v>11050</v>
      </c>
      <c r="T2494" s="25" t="s">
        <v>43</v>
      </c>
      <c r="U2494" s="5" t="s">
        <v>4057</v>
      </c>
      <c r="V2494" s="5"/>
      <c r="W2494" s="5" t="s">
        <v>46</v>
      </c>
      <c r="X2494" s="5" t="s">
        <v>253</v>
      </c>
      <c r="Y2494" s="5"/>
      <c r="Z2494" s="5" t="str">
        <f>HYPERLINK("https://knigipp.ru/api/getInfo/image/83cca612-c686-11e1-81d3-5ef3fc502493")</f>
        <v>https://knigipp.ru/api/getInfo/image/83cca612-c686-11e1-81d3-5ef3fc502493</v>
      </c>
      <c r="AA2494" s="33">
        <v>10</v>
      </c>
      <c r="AB2494" s="5"/>
      <c r="AC2494" s="5" t="s">
        <v>140</v>
      </c>
      <c r="AD2494" s="5"/>
      <c r="AE2494" s="5" t="s">
        <v>49</v>
      </c>
      <c r="AF2494" s="5"/>
      <c r="AG2494" s="5" t="s">
        <v>10840</v>
      </c>
      <c r="AH2494" s="5" t="s">
        <v>10841</v>
      </c>
    </row>
    <row r="2495" spans="2:34" ht="21" customHeight="1" outlineLevel="4" x14ac:dyDescent="0.2">
      <c r="B2495" s="42">
        <v>1975</v>
      </c>
      <c r="C2495" s="5" t="s">
        <v>11051</v>
      </c>
      <c r="D2495" s="5" t="s">
        <v>11052</v>
      </c>
      <c r="E2495" s="6" t="s">
        <v>11053</v>
      </c>
      <c r="F2495" s="10"/>
      <c r="G2495" s="11" t="s">
        <v>10879</v>
      </c>
      <c r="H2495" s="12">
        <v>40</v>
      </c>
      <c r="I2495" s="13" t="s">
        <v>371</v>
      </c>
      <c r="J2495" s="13"/>
      <c r="K2495" s="13"/>
      <c r="L2495" s="4">
        <v>5</v>
      </c>
      <c r="M2495" s="14">
        <f>169*(1-P3/100)</f>
        <v>169</v>
      </c>
      <c r="N2495" s="15"/>
      <c r="O2495" s="13">
        <f t="shared" si="111"/>
        <v>0</v>
      </c>
      <c r="P2495" s="22">
        <f>0.097*N2495</f>
        <v>0</v>
      </c>
      <c r="Q2495" s="23">
        <f>0.00011*N2495</f>
        <v>0</v>
      </c>
      <c r="R2495" s="24"/>
      <c r="S2495" s="25" t="s">
        <v>11054</v>
      </c>
      <c r="T2495" s="25" t="s">
        <v>43</v>
      </c>
      <c r="U2495" s="5" t="s">
        <v>128</v>
      </c>
      <c r="V2495" s="5" t="s">
        <v>11055</v>
      </c>
      <c r="W2495" s="5" t="s">
        <v>46</v>
      </c>
      <c r="X2495" s="5"/>
      <c r="Y2495" s="5"/>
      <c r="Z2495" s="5" t="str">
        <f>HYPERLINK("https://knigipp.ru/api/getInfo/image/fbc12108-4f3a-11ef-a262-00155d82e908")</f>
        <v>https://knigipp.ru/api/getInfo/image/fbc12108-4f3a-11ef-a262-00155d82e908</v>
      </c>
      <c r="AA2495" s="33">
        <v>10</v>
      </c>
      <c r="AB2495" s="5" t="s">
        <v>47</v>
      </c>
      <c r="AC2495" s="5" t="s">
        <v>140</v>
      </c>
      <c r="AD2495" s="5"/>
      <c r="AE2495" s="5" t="s">
        <v>49</v>
      </c>
      <c r="AF2495" s="5"/>
      <c r="AG2495" s="5" t="s">
        <v>10840</v>
      </c>
      <c r="AH2495" s="5" t="s">
        <v>10841</v>
      </c>
    </row>
    <row r="2496" spans="2:34" ht="21" customHeight="1" outlineLevel="4" x14ac:dyDescent="0.2">
      <c r="B2496" s="42">
        <v>1976</v>
      </c>
      <c r="C2496" s="5" t="s">
        <v>11056</v>
      </c>
      <c r="D2496" s="5" t="s">
        <v>11057</v>
      </c>
      <c r="E2496" s="6" t="s">
        <v>11058</v>
      </c>
      <c r="F2496" s="10"/>
      <c r="G2496" s="11"/>
      <c r="H2496" s="12">
        <v>40</v>
      </c>
      <c r="I2496" s="13" t="s">
        <v>371</v>
      </c>
      <c r="J2496" s="13"/>
      <c r="K2496" s="13"/>
      <c r="L2496" s="4">
        <v>5</v>
      </c>
      <c r="M2496" s="14">
        <f>169*(1-P3/100)</f>
        <v>169</v>
      </c>
      <c r="N2496" s="15"/>
      <c r="O2496" s="13">
        <f t="shared" si="111"/>
        <v>0</v>
      </c>
      <c r="P2496" s="32">
        <f>0.11*N2496</f>
        <v>0</v>
      </c>
      <c r="Q2496" s="23">
        <f>0.00018*N2496</f>
        <v>0</v>
      </c>
      <c r="R2496" s="24"/>
      <c r="S2496" s="25" t="s">
        <v>11059</v>
      </c>
      <c r="T2496" s="25" t="s">
        <v>43</v>
      </c>
      <c r="U2496" s="5"/>
      <c r="V2496" s="5" t="s">
        <v>11060</v>
      </c>
      <c r="W2496" s="5" t="s">
        <v>46</v>
      </c>
      <c r="X2496" s="5"/>
      <c r="Y2496" s="5"/>
      <c r="Z2496" s="5" t="str">
        <f>HYPERLINK("https://knigipp.ru/api/getInfo/image/4e3af5c5-c4f6-11ef-a268-00155d82e908")</f>
        <v>https://knigipp.ru/api/getInfo/image/4e3af5c5-c4f6-11ef-a268-00155d82e908</v>
      </c>
      <c r="AA2496" s="33">
        <v>10</v>
      </c>
      <c r="AB2496" s="5"/>
      <c r="AC2496" s="5" t="s">
        <v>140</v>
      </c>
      <c r="AD2496" s="5"/>
      <c r="AE2496" s="5" t="s">
        <v>49</v>
      </c>
      <c r="AF2496" s="5"/>
      <c r="AG2496" s="5" t="s">
        <v>10840</v>
      </c>
      <c r="AH2496" s="5" t="s">
        <v>10841</v>
      </c>
    </row>
    <row r="2497" spans="2:34" ht="21" customHeight="1" outlineLevel="4" x14ac:dyDescent="0.2">
      <c r="B2497" s="42">
        <v>1977</v>
      </c>
      <c r="C2497" s="5" t="s">
        <v>11061</v>
      </c>
      <c r="D2497" s="5" t="s">
        <v>11062</v>
      </c>
      <c r="E2497" s="6" t="s">
        <v>11063</v>
      </c>
      <c r="F2497" s="10"/>
      <c r="G2497" s="11" t="s">
        <v>11064</v>
      </c>
      <c r="H2497" s="12">
        <v>40</v>
      </c>
      <c r="I2497" s="13" t="s">
        <v>41</v>
      </c>
      <c r="J2497" s="13"/>
      <c r="K2497" s="13"/>
      <c r="L2497" s="4">
        <v>5</v>
      </c>
      <c r="M2497" s="14">
        <f>169*(1-P3/100)</f>
        <v>169</v>
      </c>
      <c r="N2497" s="15"/>
      <c r="O2497" s="13">
        <f t="shared" si="111"/>
        <v>0</v>
      </c>
      <c r="P2497" s="22">
        <f>0.108*N2497</f>
        <v>0</v>
      </c>
      <c r="Q2497" s="23">
        <f>0.00044*N2497</f>
        <v>0</v>
      </c>
      <c r="R2497" s="24"/>
      <c r="S2497" s="25" t="s">
        <v>11065</v>
      </c>
      <c r="T2497" s="25" t="s">
        <v>43</v>
      </c>
      <c r="U2497" s="5" t="s">
        <v>128</v>
      </c>
      <c r="V2497" s="5" t="s">
        <v>11066</v>
      </c>
      <c r="W2497" s="5" t="s">
        <v>46</v>
      </c>
      <c r="X2497" s="5"/>
      <c r="Y2497" s="5"/>
      <c r="Z2497" s="5" t="str">
        <f>HYPERLINK("https://knigipp.ru/api/getInfo/image/14864110-4f3a-11ef-a262-00155d82e908")</f>
        <v>https://knigipp.ru/api/getInfo/image/14864110-4f3a-11ef-a262-00155d82e908</v>
      </c>
      <c r="AA2497" s="33">
        <v>10</v>
      </c>
      <c r="AB2497" s="5" t="s">
        <v>47</v>
      </c>
      <c r="AC2497" s="5" t="s">
        <v>140</v>
      </c>
      <c r="AD2497" s="5"/>
      <c r="AE2497" s="5" t="s">
        <v>49</v>
      </c>
      <c r="AF2497" s="5"/>
      <c r="AG2497" s="5"/>
      <c r="AH2497" s="5" t="s">
        <v>2624</v>
      </c>
    </row>
    <row r="2498" spans="2:34" ht="21" customHeight="1" outlineLevel="4" x14ac:dyDescent="0.2">
      <c r="B2498" s="42">
        <v>1978</v>
      </c>
      <c r="C2498" s="5" t="s">
        <v>11067</v>
      </c>
      <c r="D2498" s="5" t="s">
        <v>11068</v>
      </c>
      <c r="E2498" s="6" t="s">
        <v>11069</v>
      </c>
      <c r="F2498" s="10"/>
      <c r="G2498" s="11" t="s">
        <v>11064</v>
      </c>
      <c r="H2498" s="12">
        <v>40</v>
      </c>
      <c r="I2498" s="13" t="s">
        <v>41</v>
      </c>
      <c r="J2498" s="13"/>
      <c r="K2498" s="13"/>
      <c r="L2498" s="4">
        <v>5</v>
      </c>
      <c r="M2498" s="14">
        <f>169*(1-P3/100)</f>
        <v>169</v>
      </c>
      <c r="N2498" s="15"/>
      <c r="O2498" s="13">
        <f t="shared" si="111"/>
        <v>0</v>
      </c>
      <c r="P2498" s="22">
        <f>0.097*N2498</f>
        <v>0</v>
      </c>
      <c r="Q2498" s="23">
        <f>0.00007*N2498</f>
        <v>0</v>
      </c>
      <c r="R2498" s="24"/>
      <c r="S2498" s="25" t="s">
        <v>11070</v>
      </c>
      <c r="T2498" s="25" t="s">
        <v>43</v>
      </c>
      <c r="U2498" s="5" t="s">
        <v>128</v>
      </c>
      <c r="V2498" s="5" t="s">
        <v>11071</v>
      </c>
      <c r="W2498" s="5" t="s">
        <v>46</v>
      </c>
      <c r="X2498" s="5"/>
      <c r="Y2498" s="5"/>
      <c r="Z2498" s="5" t="str">
        <f>HYPERLINK("https://knigipp.ru/api/getInfo/image/94397f42-4f39-11ef-a262-00155d82e908")</f>
        <v>https://knigipp.ru/api/getInfo/image/94397f42-4f39-11ef-a262-00155d82e908</v>
      </c>
      <c r="AA2498" s="33">
        <v>10</v>
      </c>
      <c r="AB2498" s="5" t="s">
        <v>47</v>
      </c>
      <c r="AC2498" s="5" t="s">
        <v>140</v>
      </c>
      <c r="AD2498" s="5"/>
      <c r="AE2498" s="5" t="s">
        <v>49</v>
      </c>
      <c r="AF2498" s="5"/>
      <c r="AG2498" s="5"/>
      <c r="AH2498" s="5" t="s">
        <v>2624</v>
      </c>
    </row>
    <row r="2499" spans="2:34" ht="21" customHeight="1" outlineLevel="4" x14ac:dyDescent="0.2">
      <c r="B2499" s="42">
        <v>1979</v>
      </c>
      <c r="C2499" s="5" t="s">
        <v>11072</v>
      </c>
      <c r="D2499" s="5" t="s">
        <v>11073</v>
      </c>
      <c r="E2499" s="6" t="s">
        <v>11074</v>
      </c>
      <c r="F2499" s="10"/>
      <c r="G2499" s="11" t="s">
        <v>11075</v>
      </c>
      <c r="H2499" s="12">
        <v>40</v>
      </c>
      <c r="I2499" s="13" t="s">
        <v>371</v>
      </c>
      <c r="J2499" s="13"/>
      <c r="K2499" s="13"/>
      <c r="L2499" s="4">
        <v>5</v>
      </c>
      <c r="M2499" s="14">
        <f>169*(1-P3/100)</f>
        <v>169</v>
      </c>
      <c r="N2499" s="15"/>
      <c r="O2499" s="13">
        <f t="shared" si="111"/>
        <v>0</v>
      </c>
      <c r="P2499" s="22">
        <f>0.112*N2499</f>
        <v>0</v>
      </c>
      <c r="Q2499" s="23">
        <f>0.00022*N2499</f>
        <v>0</v>
      </c>
      <c r="R2499" s="24"/>
      <c r="S2499" s="25" t="s">
        <v>11076</v>
      </c>
      <c r="T2499" s="25" t="s">
        <v>43</v>
      </c>
      <c r="U2499" s="5"/>
      <c r="V2499" s="5" t="s">
        <v>11077</v>
      </c>
      <c r="W2499" s="5" t="s">
        <v>46</v>
      </c>
      <c r="X2499" s="5"/>
      <c r="Y2499" s="5"/>
      <c r="Z2499" s="5" t="str">
        <f>HYPERLINK("https://knigipp.ru/api/getInfo/image/3620ae62-9e05-11f0-a285-00155d82e908")</f>
        <v>https://knigipp.ru/api/getInfo/image/3620ae62-9e05-11f0-a285-00155d82e908</v>
      </c>
      <c r="AA2499" s="33">
        <v>10</v>
      </c>
      <c r="AB2499" s="5" t="s">
        <v>47</v>
      </c>
      <c r="AC2499" s="5" t="s">
        <v>140</v>
      </c>
      <c r="AD2499" s="5"/>
      <c r="AE2499" s="5" t="s">
        <v>49</v>
      </c>
      <c r="AF2499" s="5"/>
      <c r="AG2499" s="5" t="s">
        <v>10840</v>
      </c>
      <c r="AH2499" s="5" t="s">
        <v>10841</v>
      </c>
    </row>
    <row r="2500" spans="2:34" ht="21" customHeight="1" outlineLevel="4" x14ac:dyDescent="0.2">
      <c r="B2500" s="42">
        <v>1980</v>
      </c>
      <c r="C2500" s="5" t="s">
        <v>11078</v>
      </c>
      <c r="D2500" s="5" t="s">
        <v>11079</v>
      </c>
      <c r="E2500" s="6" t="s">
        <v>11080</v>
      </c>
      <c r="F2500" s="10"/>
      <c r="G2500" s="11" t="s">
        <v>11064</v>
      </c>
      <c r="H2500" s="12">
        <v>40</v>
      </c>
      <c r="I2500" s="13" t="s">
        <v>41</v>
      </c>
      <c r="J2500" s="13"/>
      <c r="K2500" s="13"/>
      <c r="L2500" s="4">
        <v>5</v>
      </c>
      <c r="M2500" s="14">
        <f>169*(1-P3/100)</f>
        <v>169</v>
      </c>
      <c r="N2500" s="15"/>
      <c r="O2500" s="13">
        <f t="shared" si="111"/>
        <v>0</v>
      </c>
      <c r="P2500" s="22">
        <f>0.115*N2500</f>
        <v>0</v>
      </c>
      <c r="Q2500" s="23">
        <f>0.00018*N2500</f>
        <v>0</v>
      </c>
      <c r="R2500" s="24"/>
      <c r="S2500" s="25" t="s">
        <v>11081</v>
      </c>
      <c r="T2500" s="25" t="s">
        <v>43</v>
      </c>
      <c r="U2500" s="5" t="s">
        <v>128</v>
      </c>
      <c r="V2500" s="5"/>
      <c r="W2500" s="5" t="s">
        <v>46</v>
      </c>
      <c r="X2500" s="5"/>
      <c r="Y2500" s="5"/>
      <c r="Z2500" s="5" t="str">
        <f>HYPERLINK("https://knigipp.ru/api/getInfo/image/be2e534a-4f39-11ef-a262-00155d82e908")</f>
        <v>https://knigipp.ru/api/getInfo/image/be2e534a-4f39-11ef-a262-00155d82e908</v>
      </c>
      <c r="AA2500" s="33">
        <v>10</v>
      </c>
      <c r="AB2500" s="5" t="s">
        <v>47</v>
      </c>
      <c r="AC2500" s="5" t="s">
        <v>140</v>
      </c>
      <c r="AD2500" s="5"/>
      <c r="AE2500" s="5" t="s">
        <v>49</v>
      </c>
      <c r="AF2500" s="5"/>
      <c r="AG2500" s="5"/>
      <c r="AH2500" s="5" t="s">
        <v>2624</v>
      </c>
    </row>
    <row r="2501" spans="2:34" ht="21" customHeight="1" outlineLevel="4" x14ac:dyDescent="0.2">
      <c r="B2501" s="42">
        <v>1981</v>
      </c>
      <c r="C2501" s="5" t="s">
        <v>11082</v>
      </c>
      <c r="D2501" s="5" t="s">
        <v>11083</v>
      </c>
      <c r="E2501" s="6" t="s">
        <v>11084</v>
      </c>
      <c r="F2501" s="10"/>
      <c r="G2501" s="11" t="s">
        <v>11075</v>
      </c>
      <c r="H2501" s="12">
        <v>40</v>
      </c>
      <c r="I2501" s="13" t="s">
        <v>41</v>
      </c>
      <c r="J2501" s="13"/>
      <c r="K2501" s="13"/>
      <c r="L2501" s="4">
        <v>5</v>
      </c>
      <c r="M2501" s="14">
        <f>169*(1-P3/100)</f>
        <v>169</v>
      </c>
      <c r="N2501" s="15"/>
      <c r="O2501" s="13">
        <f t="shared" si="111"/>
        <v>0</v>
      </c>
      <c r="P2501" s="22">
        <f>0.109*N2501</f>
        <v>0</v>
      </c>
      <c r="Q2501" s="23">
        <f>0.00038*N2501</f>
        <v>0</v>
      </c>
      <c r="R2501" s="24"/>
      <c r="S2501" s="25" t="s">
        <v>11085</v>
      </c>
      <c r="T2501" s="25" t="s">
        <v>43</v>
      </c>
      <c r="U2501" s="5"/>
      <c r="V2501" s="5" t="s">
        <v>11086</v>
      </c>
      <c r="W2501" s="5" t="s">
        <v>46</v>
      </c>
      <c r="X2501" s="5"/>
      <c r="Y2501" s="5"/>
      <c r="Z2501" s="5" t="str">
        <f>HYPERLINK("https://knigipp.ru/api/getInfo/image/7da9ab6d-9e05-11f0-a285-00155d82e908")</f>
        <v>https://knigipp.ru/api/getInfo/image/7da9ab6d-9e05-11f0-a285-00155d82e908</v>
      </c>
      <c r="AA2501" s="33">
        <v>10</v>
      </c>
      <c r="AB2501" s="5" t="s">
        <v>47</v>
      </c>
      <c r="AC2501" s="5" t="s">
        <v>140</v>
      </c>
      <c r="AD2501" s="5"/>
      <c r="AE2501" s="5" t="s">
        <v>49</v>
      </c>
      <c r="AF2501" s="5"/>
      <c r="AG2501" s="5" t="s">
        <v>10840</v>
      </c>
      <c r="AH2501" s="5" t="s">
        <v>10841</v>
      </c>
    </row>
    <row r="2502" spans="2:34" ht="21" customHeight="1" outlineLevel="4" x14ac:dyDescent="0.2">
      <c r="B2502" s="42">
        <v>1982</v>
      </c>
      <c r="C2502" s="5" t="s">
        <v>11087</v>
      </c>
      <c r="D2502" s="5" t="s">
        <v>11088</v>
      </c>
      <c r="E2502" s="6" t="s">
        <v>11089</v>
      </c>
      <c r="F2502" s="10"/>
      <c r="G2502" s="11" t="s">
        <v>11075</v>
      </c>
      <c r="H2502" s="12">
        <v>40</v>
      </c>
      <c r="I2502" s="13" t="s">
        <v>41</v>
      </c>
      <c r="J2502" s="13"/>
      <c r="K2502" s="13"/>
      <c r="L2502" s="4">
        <v>5</v>
      </c>
      <c r="M2502" s="14">
        <f>169*(1-P3/100)</f>
        <v>169</v>
      </c>
      <c r="N2502" s="15"/>
      <c r="O2502" s="13">
        <f t="shared" si="111"/>
        <v>0</v>
      </c>
      <c r="P2502" s="22">
        <f>0.107*N2502</f>
        <v>0</v>
      </c>
      <c r="Q2502" s="23">
        <f>0.00018*N2502</f>
        <v>0</v>
      </c>
      <c r="R2502" s="24"/>
      <c r="S2502" s="25" t="s">
        <v>11090</v>
      </c>
      <c r="T2502" s="25" t="s">
        <v>43</v>
      </c>
      <c r="U2502" s="5"/>
      <c r="V2502" s="5" t="s">
        <v>11091</v>
      </c>
      <c r="W2502" s="5" t="s">
        <v>46</v>
      </c>
      <c r="X2502" s="5"/>
      <c r="Y2502" s="5"/>
      <c r="Z2502" s="5" t="str">
        <f>HYPERLINK("https://knigipp.ru/api/getInfo/image/b4b72512-9e05-11f0-a285-00155d82e908")</f>
        <v>https://knigipp.ru/api/getInfo/image/b4b72512-9e05-11f0-a285-00155d82e908</v>
      </c>
      <c r="AA2502" s="33">
        <v>10</v>
      </c>
      <c r="AB2502" s="5" t="s">
        <v>47</v>
      </c>
      <c r="AC2502" s="5" t="s">
        <v>140</v>
      </c>
      <c r="AD2502" s="5"/>
      <c r="AE2502" s="5" t="s">
        <v>49</v>
      </c>
      <c r="AF2502" s="5"/>
      <c r="AG2502" s="5" t="s">
        <v>10840</v>
      </c>
      <c r="AH2502" s="5" t="s">
        <v>10841</v>
      </c>
    </row>
    <row r="2503" spans="2:34" ht="21" customHeight="1" outlineLevel="4" x14ac:dyDescent="0.2">
      <c r="B2503" s="42">
        <v>1983</v>
      </c>
      <c r="C2503" s="5" t="s">
        <v>11092</v>
      </c>
      <c r="D2503" s="5" t="s">
        <v>11093</v>
      </c>
      <c r="E2503" s="6" t="s">
        <v>11094</v>
      </c>
      <c r="F2503" s="10"/>
      <c r="G2503" s="11" t="s">
        <v>11075</v>
      </c>
      <c r="H2503" s="12">
        <v>40</v>
      </c>
      <c r="I2503" s="13" t="s">
        <v>41</v>
      </c>
      <c r="J2503" s="13"/>
      <c r="K2503" s="13"/>
      <c r="L2503" s="4">
        <v>5</v>
      </c>
      <c r="M2503" s="14">
        <f>169*(1-P3/100)</f>
        <v>169</v>
      </c>
      <c r="N2503" s="15"/>
      <c r="O2503" s="13">
        <f t="shared" si="111"/>
        <v>0</v>
      </c>
      <c r="P2503" s="22">
        <f>0.109*N2503</f>
        <v>0</v>
      </c>
      <c r="Q2503" s="23">
        <f>0.00022*N2503</f>
        <v>0</v>
      </c>
      <c r="R2503" s="24"/>
      <c r="S2503" s="25" t="s">
        <v>11095</v>
      </c>
      <c r="T2503" s="25" t="s">
        <v>43</v>
      </c>
      <c r="U2503" s="5"/>
      <c r="V2503" s="5" t="s">
        <v>11096</v>
      </c>
      <c r="W2503" s="5" t="s">
        <v>46</v>
      </c>
      <c r="X2503" s="5"/>
      <c r="Y2503" s="5"/>
      <c r="Z2503" s="5" t="str">
        <f>HYPERLINK("https://knigipp.ru/api/getInfo/image/fd85e963-9e05-11f0-a285-00155d82e908")</f>
        <v>https://knigipp.ru/api/getInfo/image/fd85e963-9e05-11f0-a285-00155d82e908</v>
      </c>
      <c r="AA2503" s="33">
        <v>10</v>
      </c>
      <c r="AB2503" s="5" t="s">
        <v>47</v>
      </c>
      <c r="AC2503" s="5" t="s">
        <v>140</v>
      </c>
      <c r="AD2503" s="5"/>
      <c r="AE2503" s="5" t="s">
        <v>49</v>
      </c>
      <c r="AF2503" s="5"/>
      <c r="AG2503" s="5" t="s">
        <v>10840</v>
      </c>
      <c r="AH2503" s="5" t="s">
        <v>10841</v>
      </c>
    </row>
    <row r="2504" spans="2:34" ht="22.95" customHeight="1" outlineLevel="3" x14ac:dyDescent="0.2">
      <c r="B2504" s="74" t="s">
        <v>11097</v>
      </c>
      <c r="C2504" s="74"/>
      <c r="D2504" s="74"/>
    </row>
    <row r="2505" spans="2:34" ht="21" customHeight="1" outlineLevel="4" x14ac:dyDescent="0.2">
      <c r="B2505" s="42">
        <v>1984</v>
      </c>
      <c r="C2505" s="5" t="s">
        <v>11098</v>
      </c>
      <c r="D2505" s="5" t="s">
        <v>11099</v>
      </c>
      <c r="E2505" s="6" t="s">
        <v>11100</v>
      </c>
      <c r="F2505" s="10"/>
      <c r="G2505" s="11" t="s">
        <v>11101</v>
      </c>
      <c r="H2505" s="12">
        <v>48</v>
      </c>
      <c r="I2505" s="13" t="s">
        <v>371</v>
      </c>
      <c r="J2505" s="13"/>
      <c r="K2505" s="13"/>
      <c r="L2505" s="4">
        <v>8</v>
      </c>
      <c r="M2505" s="14">
        <f>87*(1-P3/100)</f>
        <v>87</v>
      </c>
      <c r="N2505" s="15"/>
      <c r="O2505" s="13">
        <f t="shared" ref="O2505:O2545" si="112">M2505*N2505</f>
        <v>0</v>
      </c>
      <c r="P2505" s="22">
        <f>0.055*N2505</f>
        <v>0</v>
      </c>
      <c r="Q2505" s="23">
        <f>0.00011*N2505</f>
        <v>0</v>
      </c>
      <c r="R2505" s="24"/>
      <c r="S2505" s="25" t="s">
        <v>11102</v>
      </c>
      <c r="T2505" s="25" t="s">
        <v>43</v>
      </c>
      <c r="U2505" s="5" t="s">
        <v>7613</v>
      </c>
      <c r="V2505" s="5"/>
      <c r="W2505" s="5" t="s">
        <v>46</v>
      </c>
      <c r="X2505" s="5" t="s">
        <v>11036</v>
      </c>
      <c r="Y2505" s="5"/>
      <c r="Z2505" s="5" t="str">
        <f>HYPERLINK("https://knigipp.ru/api/getInfo/image/83cca621-c686-11e1-81d3-5ef3fc502493")</f>
        <v>https://knigipp.ru/api/getInfo/image/83cca621-c686-11e1-81d3-5ef3fc502493</v>
      </c>
      <c r="AA2505" s="33">
        <v>10</v>
      </c>
      <c r="AB2505" s="5"/>
      <c r="AC2505" s="5" t="s">
        <v>140</v>
      </c>
      <c r="AD2505" s="5"/>
      <c r="AE2505" s="5" t="s">
        <v>49</v>
      </c>
      <c r="AF2505" s="5"/>
      <c r="AG2505" s="5" t="s">
        <v>10840</v>
      </c>
      <c r="AH2505" s="5" t="s">
        <v>11103</v>
      </c>
    </row>
    <row r="2506" spans="2:34" ht="21" customHeight="1" outlineLevel="4" x14ac:dyDescent="0.2">
      <c r="B2506" s="42">
        <v>1985</v>
      </c>
      <c r="C2506" s="5" t="s">
        <v>11104</v>
      </c>
      <c r="D2506" s="5" t="s">
        <v>11105</v>
      </c>
      <c r="E2506" s="6" t="s">
        <v>11106</v>
      </c>
      <c r="F2506" s="10"/>
      <c r="G2506" s="11" t="s">
        <v>11101</v>
      </c>
      <c r="H2506" s="12">
        <v>48</v>
      </c>
      <c r="I2506" s="13" t="s">
        <v>41</v>
      </c>
      <c r="J2506" s="13"/>
      <c r="K2506" s="13"/>
      <c r="L2506" s="4">
        <v>8</v>
      </c>
      <c r="M2506" s="14">
        <f>87*(1-P3/100)</f>
        <v>87</v>
      </c>
      <c r="N2506" s="15"/>
      <c r="O2506" s="13">
        <f t="shared" si="112"/>
        <v>0</v>
      </c>
      <c r="P2506" s="22">
        <f>0.056*N2506</f>
        <v>0</v>
      </c>
      <c r="Q2506" s="23">
        <f>0.00013*N2506</f>
        <v>0</v>
      </c>
      <c r="R2506" s="24"/>
      <c r="S2506" s="25" t="s">
        <v>11107</v>
      </c>
      <c r="T2506" s="25" t="s">
        <v>43</v>
      </c>
      <c r="U2506" s="5" t="s">
        <v>10985</v>
      </c>
      <c r="V2506" s="5"/>
      <c r="W2506" s="5" t="s">
        <v>46</v>
      </c>
      <c r="X2506" s="5" t="s">
        <v>9262</v>
      </c>
      <c r="Y2506" s="5"/>
      <c r="Z2506" s="5" t="str">
        <f>HYPERLINK("https://knigipp.ru/api/getInfo/image/83cca622-c686-11e1-81d3-5ef3fc502493")</f>
        <v>https://knigipp.ru/api/getInfo/image/83cca622-c686-11e1-81d3-5ef3fc502493</v>
      </c>
      <c r="AA2506" s="33">
        <v>10</v>
      </c>
      <c r="AB2506" s="5"/>
      <c r="AC2506" s="5" t="s">
        <v>140</v>
      </c>
      <c r="AD2506" s="5"/>
      <c r="AE2506" s="5" t="s">
        <v>49</v>
      </c>
      <c r="AF2506" s="5"/>
      <c r="AG2506" s="5" t="s">
        <v>10840</v>
      </c>
      <c r="AH2506" s="5" t="s">
        <v>11103</v>
      </c>
    </row>
    <row r="2507" spans="2:34" ht="21" customHeight="1" outlineLevel="4" x14ac:dyDescent="0.2">
      <c r="B2507" s="42">
        <v>1986</v>
      </c>
      <c r="C2507" s="5" t="s">
        <v>11108</v>
      </c>
      <c r="D2507" s="5" t="s">
        <v>11109</v>
      </c>
      <c r="E2507" s="6" t="s">
        <v>11110</v>
      </c>
      <c r="F2507" s="10"/>
      <c r="G2507" s="11" t="s">
        <v>11101</v>
      </c>
      <c r="H2507" s="12">
        <v>48</v>
      </c>
      <c r="I2507" s="13" t="s">
        <v>41</v>
      </c>
      <c r="J2507" s="13"/>
      <c r="K2507" s="13"/>
      <c r="L2507" s="4">
        <v>8</v>
      </c>
      <c r="M2507" s="14">
        <f>87*(1-P3/100)</f>
        <v>87</v>
      </c>
      <c r="N2507" s="15"/>
      <c r="O2507" s="13">
        <f t="shared" si="112"/>
        <v>0</v>
      </c>
      <c r="P2507" s="22">
        <f>0.056*N2507</f>
        <v>0</v>
      </c>
      <c r="Q2507" s="23">
        <f>0.00022*N2507</f>
        <v>0</v>
      </c>
      <c r="R2507" s="24"/>
      <c r="S2507" s="25" t="s">
        <v>11111</v>
      </c>
      <c r="T2507" s="25" t="s">
        <v>43</v>
      </c>
      <c r="U2507" s="5"/>
      <c r="V2507" s="5"/>
      <c r="W2507" s="5" t="s">
        <v>46</v>
      </c>
      <c r="X2507" s="5" t="s">
        <v>11036</v>
      </c>
      <c r="Y2507" s="5"/>
      <c r="Z2507" s="5" t="str">
        <f>HYPERLINK("https://knigipp.ru/api/getInfo/image/83cca625-c686-11e1-81d3-5ef3fc502493")</f>
        <v>https://knigipp.ru/api/getInfo/image/83cca625-c686-11e1-81d3-5ef3fc502493</v>
      </c>
      <c r="AA2507" s="33">
        <v>10</v>
      </c>
      <c r="AB2507" s="5"/>
      <c r="AC2507" s="5" t="s">
        <v>140</v>
      </c>
      <c r="AD2507" s="5"/>
      <c r="AE2507" s="5" t="s">
        <v>49</v>
      </c>
      <c r="AF2507" s="5"/>
      <c r="AG2507" s="5" t="s">
        <v>10840</v>
      </c>
      <c r="AH2507" s="5" t="s">
        <v>11103</v>
      </c>
    </row>
    <row r="2508" spans="2:34" ht="21" customHeight="1" outlineLevel="4" x14ac:dyDescent="0.2">
      <c r="B2508" s="42">
        <v>1987</v>
      </c>
      <c r="C2508" s="5" t="s">
        <v>11112</v>
      </c>
      <c r="D2508" s="5" t="s">
        <v>11113</v>
      </c>
      <c r="E2508" s="6" t="s">
        <v>11114</v>
      </c>
      <c r="F2508" s="10"/>
      <c r="G2508" s="11" t="s">
        <v>11101</v>
      </c>
      <c r="H2508" s="12">
        <v>48</v>
      </c>
      <c r="I2508" s="13" t="s">
        <v>41</v>
      </c>
      <c r="J2508" s="13"/>
      <c r="K2508" s="13"/>
      <c r="L2508" s="4">
        <v>8</v>
      </c>
      <c r="M2508" s="14">
        <f>87*(1-P3/100)</f>
        <v>87</v>
      </c>
      <c r="N2508" s="15"/>
      <c r="O2508" s="13">
        <f t="shared" si="112"/>
        <v>0</v>
      </c>
      <c r="P2508" s="22">
        <f>0.054*N2508</f>
        <v>0</v>
      </c>
      <c r="Q2508" s="23">
        <f>0.00011*N2508</f>
        <v>0</v>
      </c>
      <c r="R2508" s="24"/>
      <c r="S2508" s="25" t="s">
        <v>11115</v>
      </c>
      <c r="T2508" s="25" t="s">
        <v>43</v>
      </c>
      <c r="U2508" s="5" t="s">
        <v>7613</v>
      </c>
      <c r="V2508" s="5"/>
      <c r="W2508" s="5" t="s">
        <v>46</v>
      </c>
      <c r="X2508" s="5" t="s">
        <v>253</v>
      </c>
      <c r="Y2508" s="5"/>
      <c r="Z2508" s="5" t="str">
        <f>HYPERLINK("https://knigipp.ru/api/getInfo/image/83cca62a-c686-11e1-81d3-5ef3fc502493")</f>
        <v>https://knigipp.ru/api/getInfo/image/83cca62a-c686-11e1-81d3-5ef3fc502493</v>
      </c>
      <c r="AA2508" s="33">
        <v>10</v>
      </c>
      <c r="AB2508" s="5"/>
      <c r="AC2508" s="5" t="s">
        <v>140</v>
      </c>
      <c r="AD2508" s="5"/>
      <c r="AE2508" s="5" t="s">
        <v>49</v>
      </c>
      <c r="AF2508" s="5"/>
      <c r="AG2508" s="5" t="s">
        <v>10840</v>
      </c>
      <c r="AH2508" s="5" t="s">
        <v>11103</v>
      </c>
    </row>
    <row r="2509" spans="2:34" ht="21" customHeight="1" outlineLevel="4" x14ac:dyDescent="0.2">
      <c r="B2509" s="42">
        <v>1988</v>
      </c>
      <c r="C2509" s="5" t="s">
        <v>11116</v>
      </c>
      <c r="D2509" s="5" t="s">
        <v>11117</v>
      </c>
      <c r="E2509" s="6" t="s">
        <v>11118</v>
      </c>
      <c r="F2509" s="10"/>
      <c r="G2509" s="11" t="s">
        <v>11101</v>
      </c>
      <c r="H2509" s="12">
        <v>48</v>
      </c>
      <c r="I2509" s="13" t="s">
        <v>41</v>
      </c>
      <c r="J2509" s="13"/>
      <c r="K2509" s="13"/>
      <c r="L2509" s="4">
        <v>8</v>
      </c>
      <c r="M2509" s="14">
        <f>87*(1-P3/100)</f>
        <v>87</v>
      </c>
      <c r="N2509" s="15"/>
      <c r="O2509" s="13">
        <f t="shared" si="112"/>
        <v>0</v>
      </c>
      <c r="P2509" s="22">
        <f>0.039*N2509</f>
        <v>0</v>
      </c>
      <c r="Q2509" s="23">
        <f>0.00019*N2509</f>
        <v>0</v>
      </c>
      <c r="R2509" s="24"/>
      <c r="S2509" s="25" t="s">
        <v>11119</v>
      </c>
      <c r="T2509" s="25" t="s">
        <v>43</v>
      </c>
      <c r="U2509" s="5"/>
      <c r="V2509" s="5"/>
      <c r="W2509" s="5" t="s">
        <v>46</v>
      </c>
      <c r="X2509" s="5" t="s">
        <v>253</v>
      </c>
      <c r="Y2509" s="5"/>
      <c r="Z2509" s="5" t="str">
        <f>HYPERLINK("https://knigipp.ru/api/getInfo/image/83cca62d-c686-11e1-81d3-5ef3fc502493")</f>
        <v>https://knigipp.ru/api/getInfo/image/83cca62d-c686-11e1-81d3-5ef3fc502493</v>
      </c>
      <c r="AA2509" s="33">
        <v>10</v>
      </c>
      <c r="AB2509" s="5"/>
      <c r="AC2509" s="5" t="s">
        <v>140</v>
      </c>
      <c r="AD2509" s="5"/>
      <c r="AE2509" s="5" t="s">
        <v>49</v>
      </c>
      <c r="AF2509" s="5"/>
      <c r="AG2509" s="5" t="s">
        <v>10840</v>
      </c>
      <c r="AH2509" s="5" t="s">
        <v>11103</v>
      </c>
    </row>
    <row r="2510" spans="2:34" ht="21" customHeight="1" outlineLevel="4" x14ac:dyDescent="0.2">
      <c r="B2510" s="42">
        <v>1989</v>
      </c>
      <c r="C2510" s="5" t="s">
        <v>11120</v>
      </c>
      <c r="D2510" s="5" t="s">
        <v>11121</v>
      </c>
      <c r="E2510" s="6" t="s">
        <v>11122</v>
      </c>
      <c r="F2510" s="10"/>
      <c r="G2510" s="11" t="s">
        <v>11101</v>
      </c>
      <c r="H2510" s="12">
        <v>48</v>
      </c>
      <c r="I2510" s="13" t="s">
        <v>371</v>
      </c>
      <c r="J2510" s="13"/>
      <c r="K2510" s="13"/>
      <c r="L2510" s="4">
        <v>8</v>
      </c>
      <c r="M2510" s="14">
        <f>87*(1-P3/100)</f>
        <v>87</v>
      </c>
      <c r="N2510" s="15"/>
      <c r="O2510" s="13">
        <f t="shared" si="112"/>
        <v>0</v>
      </c>
      <c r="P2510" s="32">
        <f>0.07*N2510</f>
        <v>0</v>
      </c>
      <c r="Q2510" s="23">
        <f>0.00011*N2510</f>
        <v>0</v>
      </c>
      <c r="R2510" s="24"/>
      <c r="S2510" s="25" t="s">
        <v>11123</v>
      </c>
      <c r="T2510" s="25" t="s">
        <v>43</v>
      </c>
      <c r="U2510" s="5"/>
      <c r="V2510" s="5"/>
      <c r="W2510" s="5" t="s">
        <v>46</v>
      </c>
      <c r="X2510" s="5" t="s">
        <v>9262</v>
      </c>
      <c r="Y2510" s="5"/>
      <c r="Z2510" s="5" t="str">
        <f>HYPERLINK("https://knigipp.ru/api/getInfo/image/83cca62e-c686-11e1-81d3-5ef3fc502493")</f>
        <v>https://knigipp.ru/api/getInfo/image/83cca62e-c686-11e1-81d3-5ef3fc502493</v>
      </c>
      <c r="AA2510" s="33">
        <v>10</v>
      </c>
      <c r="AB2510" s="5"/>
      <c r="AC2510" s="5" t="s">
        <v>140</v>
      </c>
      <c r="AD2510" s="5"/>
      <c r="AE2510" s="5" t="s">
        <v>49</v>
      </c>
      <c r="AF2510" s="5"/>
      <c r="AG2510" s="5" t="s">
        <v>10840</v>
      </c>
      <c r="AH2510" s="5" t="s">
        <v>11103</v>
      </c>
    </row>
    <row r="2511" spans="2:34" ht="21" customHeight="1" outlineLevel="4" x14ac:dyDescent="0.2">
      <c r="B2511" s="42">
        <v>1990</v>
      </c>
      <c r="C2511" s="5" t="s">
        <v>11124</v>
      </c>
      <c r="D2511" s="5" t="s">
        <v>11125</v>
      </c>
      <c r="E2511" s="6" t="s">
        <v>11126</v>
      </c>
      <c r="F2511" s="10"/>
      <c r="G2511" s="11" t="s">
        <v>11101</v>
      </c>
      <c r="H2511" s="12">
        <v>48</v>
      </c>
      <c r="I2511" s="13" t="s">
        <v>41</v>
      </c>
      <c r="J2511" s="13"/>
      <c r="K2511" s="13"/>
      <c r="L2511" s="4">
        <v>8</v>
      </c>
      <c r="M2511" s="14">
        <f>87*(1-P3/100)</f>
        <v>87</v>
      </c>
      <c r="N2511" s="15"/>
      <c r="O2511" s="13">
        <f t="shared" si="112"/>
        <v>0</v>
      </c>
      <c r="P2511" s="22">
        <f>0.055*N2511</f>
        <v>0</v>
      </c>
      <c r="Q2511" s="23">
        <f>0.00017*N2511</f>
        <v>0</v>
      </c>
      <c r="R2511" s="24"/>
      <c r="S2511" s="25" t="s">
        <v>11127</v>
      </c>
      <c r="T2511" s="25" t="s">
        <v>43</v>
      </c>
      <c r="U2511" s="5"/>
      <c r="V2511" s="5"/>
      <c r="W2511" s="5" t="s">
        <v>46</v>
      </c>
      <c r="X2511" s="5" t="s">
        <v>3900</v>
      </c>
      <c r="Y2511" s="5"/>
      <c r="Z2511" s="5" t="str">
        <f>HYPERLINK("https://knigipp.ru/api/getInfo/image/83cca62f-c686-11e1-81d3-5ef3fc502493")</f>
        <v>https://knigipp.ru/api/getInfo/image/83cca62f-c686-11e1-81d3-5ef3fc502493</v>
      </c>
      <c r="AA2511" s="33">
        <v>10</v>
      </c>
      <c r="AB2511" s="5"/>
      <c r="AC2511" s="5" t="s">
        <v>140</v>
      </c>
      <c r="AD2511" s="5"/>
      <c r="AE2511" s="5" t="s">
        <v>49</v>
      </c>
      <c r="AF2511" s="5"/>
      <c r="AG2511" s="5" t="s">
        <v>10840</v>
      </c>
      <c r="AH2511" s="5" t="s">
        <v>11103</v>
      </c>
    </row>
    <row r="2512" spans="2:34" ht="21" customHeight="1" outlineLevel="4" x14ac:dyDescent="0.2">
      <c r="B2512" s="42">
        <v>1991</v>
      </c>
      <c r="C2512" s="5" t="s">
        <v>11128</v>
      </c>
      <c r="D2512" s="5" t="s">
        <v>11129</v>
      </c>
      <c r="E2512" s="6" t="s">
        <v>11130</v>
      </c>
      <c r="F2512" s="10"/>
      <c r="G2512" s="11" t="s">
        <v>11101</v>
      </c>
      <c r="H2512" s="12">
        <v>48</v>
      </c>
      <c r="I2512" s="13" t="s">
        <v>41</v>
      </c>
      <c r="J2512" s="13"/>
      <c r="K2512" s="13"/>
      <c r="L2512" s="4">
        <v>8</v>
      </c>
      <c r="M2512" s="14">
        <f>87*(1-P3/100)</f>
        <v>87</v>
      </c>
      <c r="N2512" s="15"/>
      <c r="O2512" s="13">
        <f t="shared" si="112"/>
        <v>0</v>
      </c>
      <c r="P2512" s="22">
        <f>0.048*N2512</f>
        <v>0</v>
      </c>
      <c r="Q2512" s="23">
        <f>0.00017*N2512</f>
        <v>0</v>
      </c>
      <c r="R2512" s="24"/>
      <c r="S2512" s="25" t="s">
        <v>11131</v>
      </c>
      <c r="T2512" s="25" t="s">
        <v>43</v>
      </c>
      <c r="U2512" s="5" t="s">
        <v>7613</v>
      </c>
      <c r="V2512" s="5"/>
      <c r="W2512" s="5" t="s">
        <v>46</v>
      </c>
      <c r="X2512" s="5" t="s">
        <v>253</v>
      </c>
      <c r="Y2512" s="5"/>
      <c r="Z2512" s="5" t="str">
        <f>HYPERLINK("https://knigipp.ru/api/getInfo/image/83cca630-c686-11e1-81d3-5ef3fc502493")</f>
        <v>https://knigipp.ru/api/getInfo/image/83cca630-c686-11e1-81d3-5ef3fc502493</v>
      </c>
      <c r="AA2512" s="33">
        <v>10</v>
      </c>
      <c r="AB2512" s="5"/>
      <c r="AC2512" s="5" t="s">
        <v>140</v>
      </c>
      <c r="AD2512" s="5"/>
      <c r="AE2512" s="5" t="s">
        <v>49</v>
      </c>
      <c r="AF2512" s="5"/>
      <c r="AG2512" s="5" t="s">
        <v>10840</v>
      </c>
      <c r="AH2512" s="5" t="s">
        <v>11103</v>
      </c>
    </row>
    <row r="2513" spans="2:35" ht="21" customHeight="1" outlineLevel="4" x14ac:dyDescent="0.2">
      <c r="B2513" s="42">
        <v>1992</v>
      </c>
      <c r="C2513" s="5" t="s">
        <v>11132</v>
      </c>
      <c r="D2513" s="5" t="s">
        <v>11133</v>
      </c>
      <c r="E2513" s="6" t="s">
        <v>11134</v>
      </c>
      <c r="F2513" s="10"/>
      <c r="G2513" s="11" t="s">
        <v>11101</v>
      </c>
      <c r="H2513" s="12">
        <v>48</v>
      </c>
      <c r="I2513" s="13" t="s">
        <v>41</v>
      </c>
      <c r="J2513" s="13"/>
      <c r="K2513" s="13"/>
      <c r="L2513" s="4">
        <v>8</v>
      </c>
      <c r="M2513" s="14">
        <f>87*(1-P3/100)</f>
        <v>87</v>
      </c>
      <c r="N2513" s="15"/>
      <c r="O2513" s="13">
        <f t="shared" si="112"/>
        <v>0</v>
      </c>
      <c r="P2513" s="32">
        <f>0.07*N2513</f>
        <v>0</v>
      </c>
      <c r="Q2513" s="23">
        <f>0.00011*N2513</f>
        <v>0</v>
      </c>
      <c r="R2513" s="24"/>
      <c r="S2513" s="25" t="s">
        <v>11135</v>
      </c>
      <c r="T2513" s="25" t="s">
        <v>43</v>
      </c>
      <c r="U2513" s="5"/>
      <c r="V2513" s="5"/>
      <c r="W2513" s="5" t="s">
        <v>46</v>
      </c>
      <c r="X2513" s="5" t="s">
        <v>9262</v>
      </c>
      <c r="Y2513" s="5"/>
      <c r="Z2513" s="5" t="str">
        <f>HYPERLINK("https://knigipp.ru/api/getInfo/image/83cca632-c686-11e1-81d3-5ef3fc502493")</f>
        <v>https://knigipp.ru/api/getInfo/image/83cca632-c686-11e1-81d3-5ef3fc502493</v>
      </c>
      <c r="AA2513" s="33">
        <v>10</v>
      </c>
      <c r="AB2513" s="5"/>
      <c r="AC2513" s="5" t="s">
        <v>140</v>
      </c>
      <c r="AD2513" s="5"/>
      <c r="AE2513" s="5" t="s">
        <v>49</v>
      </c>
      <c r="AF2513" s="5"/>
      <c r="AG2513" s="5" t="s">
        <v>10840</v>
      </c>
      <c r="AH2513" s="5" t="s">
        <v>11103</v>
      </c>
    </row>
    <row r="2514" spans="2:35" ht="21" customHeight="1" outlineLevel="4" x14ac:dyDescent="0.2">
      <c r="B2514" s="42">
        <v>1993</v>
      </c>
      <c r="C2514" s="5" t="s">
        <v>11136</v>
      </c>
      <c r="D2514" s="5" t="s">
        <v>11137</v>
      </c>
      <c r="E2514" s="6" t="s">
        <v>11138</v>
      </c>
      <c r="F2514" s="10"/>
      <c r="G2514" s="11" t="s">
        <v>11101</v>
      </c>
      <c r="H2514" s="12">
        <v>48</v>
      </c>
      <c r="I2514" s="13" t="s">
        <v>41</v>
      </c>
      <c r="J2514" s="13"/>
      <c r="K2514" s="13"/>
      <c r="L2514" s="4">
        <v>8</v>
      </c>
      <c r="M2514" s="14">
        <f>87*(1-P3/100)</f>
        <v>87</v>
      </c>
      <c r="N2514" s="15"/>
      <c r="O2514" s="13">
        <f t="shared" si="112"/>
        <v>0</v>
      </c>
      <c r="P2514" s="22">
        <f>0.054*N2514</f>
        <v>0</v>
      </c>
      <c r="Q2514" s="23">
        <f>0.00009*N2514</f>
        <v>0</v>
      </c>
      <c r="R2514" s="24"/>
      <c r="S2514" s="25" t="s">
        <v>11139</v>
      </c>
      <c r="T2514" s="25" t="s">
        <v>43</v>
      </c>
      <c r="U2514" s="5"/>
      <c r="V2514" s="5"/>
      <c r="W2514" s="5" t="s">
        <v>46</v>
      </c>
      <c r="X2514" s="5"/>
      <c r="Y2514" s="5"/>
      <c r="Z2514" s="5" t="str">
        <f>HYPERLINK("https://knigipp.ru/api/getInfo/image/d42ac045-3771-11ee-a240-00155d82e902")</f>
        <v>https://knigipp.ru/api/getInfo/image/d42ac045-3771-11ee-a240-00155d82e902</v>
      </c>
      <c r="AA2514" s="33">
        <v>10</v>
      </c>
      <c r="AB2514" s="5" t="s">
        <v>47</v>
      </c>
      <c r="AC2514" s="5" t="s">
        <v>140</v>
      </c>
      <c r="AD2514" s="5"/>
      <c r="AE2514" s="5" t="s">
        <v>49</v>
      </c>
      <c r="AF2514" s="5"/>
      <c r="AG2514" s="5" t="s">
        <v>10840</v>
      </c>
      <c r="AH2514" s="5" t="s">
        <v>11103</v>
      </c>
    </row>
    <row r="2515" spans="2:35" ht="21" customHeight="1" outlineLevel="4" x14ac:dyDescent="0.2">
      <c r="B2515" s="42">
        <v>1994</v>
      </c>
      <c r="C2515" s="5" t="s">
        <v>11140</v>
      </c>
      <c r="D2515" s="5" t="s">
        <v>11141</v>
      </c>
      <c r="E2515" s="6" t="s">
        <v>11142</v>
      </c>
      <c r="F2515" s="10"/>
      <c r="G2515" s="11" t="s">
        <v>11101</v>
      </c>
      <c r="H2515" s="12">
        <v>48</v>
      </c>
      <c r="I2515" s="13" t="s">
        <v>371</v>
      </c>
      <c r="J2515" s="13"/>
      <c r="K2515" s="13"/>
      <c r="L2515" s="4">
        <v>8</v>
      </c>
      <c r="M2515" s="14">
        <f>87*(1-P3/100)</f>
        <v>87</v>
      </c>
      <c r="N2515" s="15"/>
      <c r="O2515" s="13">
        <f t="shared" si="112"/>
        <v>0</v>
      </c>
      <c r="P2515" s="22">
        <f>0.057*N2515</f>
        <v>0</v>
      </c>
      <c r="Q2515" s="23">
        <f>0.00007*N2515</f>
        <v>0</v>
      </c>
      <c r="R2515" s="24"/>
      <c r="S2515" s="25" t="s">
        <v>11143</v>
      </c>
      <c r="T2515" s="25" t="s">
        <v>43</v>
      </c>
      <c r="U2515" s="5" t="s">
        <v>157</v>
      </c>
      <c r="V2515" s="5" t="s">
        <v>11144</v>
      </c>
      <c r="W2515" s="5" t="s">
        <v>46</v>
      </c>
      <c r="X2515" s="5"/>
      <c r="Y2515" s="5"/>
      <c r="Z2515" s="5" t="str">
        <f>HYPERLINK("https://knigipp.ru/api/getInfo/image/745b5025-3772-11ee-a240-00155d82e902")</f>
        <v>https://knigipp.ru/api/getInfo/image/745b5025-3772-11ee-a240-00155d82e902</v>
      </c>
      <c r="AA2515" s="33">
        <v>10</v>
      </c>
      <c r="AB2515" s="5" t="s">
        <v>47</v>
      </c>
      <c r="AC2515" s="5" t="s">
        <v>140</v>
      </c>
      <c r="AD2515" s="5"/>
      <c r="AE2515" s="5" t="s">
        <v>49</v>
      </c>
      <c r="AF2515" s="5"/>
      <c r="AG2515" s="5" t="s">
        <v>10840</v>
      </c>
      <c r="AH2515" s="5" t="s">
        <v>11103</v>
      </c>
    </row>
    <row r="2516" spans="2:35" ht="21" customHeight="1" outlineLevel="4" x14ac:dyDescent="0.2">
      <c r="B2516" s="42">
        <v>1995</v>
      </c>
      <c r="C2516" s="5" t="s">
        <v>11145</v>
      </c>
      <c r="D2516" s="5" t="s">
        <v>11146</v>
      </c>
      <c r="E2516" s="6" t="s">
        <v>11147</v>
      </c>
      <c r="F2516" s="10"/>
      <c r="G2516" s="11" t="s">
        <v>10884</v>
      </c>
      <c r="H2516" s="12">
        <v>48</v>
      </c>
      <c r="I2516" s="13" t="s">
        <v>41</v>
      </c>
      <c r="J2516" s="13"/>
      <c r="K2516" s="13"/>
      <c r="L2516" s="4">
        <v>8</v>
      </c>
      <c r="M2516" s="14">
        <f>87*(1-P3/100)</f>
        <v>87</v>
      </c>
      <c r="N2516" s="15"/>
      <c r="O2516" s="13">
        <f t="shared" si="112"/>
        <v>0</v>
      </c>
      <c r="P2516" s="22">
        <f>0.057*N2516</f>
        <v>0</v>
      </c>
      <c r="Q2516" s="23">
        <f>0.00006*N2516</f>
        <v>0</v>
      </c>
      <c r="R2516" s="24"/>
      <c r="S2516" s="25" t="s">
        <v>11148</v>
      </c>
      <c r="T2516" s="25" t="s">
        <v>43</v>
      </c>
      <c r="U2516" s="5"/>
      <c r="V2516" s="5" t="s">
        <v>11149</v>
      </c>
      <c r="W2516" s="5" t="s">
        <v>46</v>
      </c>
      <c r="X2516" s="5"/>
      <c r="Y2516" s="5"/>
      <c r="Z2516" s="5" t="str">
        <f>HYPERLINK("https://knigipp.ru/api/getInfo/image/4c9ca092-0e38-11f0-a279-00155d82e908")</f>
        <v>https://knigipp.ru/api/getInfo/image/4c9ca092-0e38-11f0-a279-00155d82e908</v>
      </c>
      <c r="AA2516" s="33">
        <v>10</v>
      </c>
      <c r="AB2516" s="5" t="s">
        <v>47</v>
      </c>
      <c r="AC2516" s="5" t="s">
        <v>140</v>
      </c>
      <c r="AD2516" s="5"/>
      <c r="AE2516" s="5" t="s">
        <v>49</v>
      </c>
      <c r="AF2516" s="5"/>
      <c r="AG2516" s="5" t="s">
        <v>10840</v>
      </c>
      <c r="AH2516" s="5" t="s">
        <v>11103</v>
      </c>
    </row>
    <row r="2517" spans="2:35" ht="21" customHeight="1" outlineLevel="4" x14ac:dyDescent="0.2">
      <c r="B2517" s="42">
        <v>1996</v>
      </c>
      <c r="C2517" s="5" t="s">
        <v>11150</v>
      </c>
      <c r="D2517" s="5" t="s">
        <v>11151</v>
      </c>
      <c r="E2517" s="6" t="s">
        <v>11152</v>
      </c>
      <c r="F2517" s="10"/>
      <c r="G2517" s="11" t="s">
        <v>11153</v>
      </c>
      <c r="H2517" s="12">
        <v>48</v>
      </c>
      <c r="I2517" s="13" t="s">
        <v>41</v>
      </c>
      <c r="J2517" s="13"/>
      <c r="K2517" s="13"/>
      <c r="L2517" s="4">
        <v>8</v>
      </c>
      <c r="M2517" s="14">
        <f>87*(1-P3/100)</f>
        <v>87</v>
      </c>
      <c r="N2517" s="15"/>
      <c r="O2517" s="13">
        <f t="shared" si="112"/>
        <v>0</v>
      </c>
      <c r="P2517" s="32">
        <f>0.07*N2517</f>
        <v>0</v>
      </c>
      <c r="Q2517" s="23">
        <f>0.00011*N2517</f>
        <v>0</v>
      </c>
      <c r="R2517" s="24"/>
      <c r="S2517" s="25" t="s">
        <v>11154</v>
      </c>
      <c r="T2517" s="25" t="s">
        <v>43</v>
      </c>
      <c r="U2517" s="5" t="s">
        <v>10268</v>
      </c>
      <c r="V2517" s="5"/>
      <c r="W2517" s="5" t="s">
        <v>46</v>
      </c>
      <c r="X2517" s="5"/>
      <c r="Y2517" s="5"/>
      <c r="Z2517" s="5" t="str">
        <f>HYPERLINK("https://knigipp.ru/api/getInfo/image/26921f5a-20d6-11ea-a237-ac1f6b442184")</f>
        <v>https://knigipp.ru/api/getInfo/image/26921f5a-20d6-11ea-a237-ac1f6b442184</v>
      </c>
      <c r="AA2517" s="33">
        <v>10</v>
      </c>
      <c r="AB2517" s="5"/>
      <c r="AC2517" s="5" t="s">
        <v>140</v>
      </c>
      <c r="AD2517" s="5"/>
      <c r="AE2517" s="5" t="s">
        <v>49</v>
      </c>
      <c r="AF2517" s="5"/>
      <c r="AG2517" s="5"/>
      <c r="AH2517" s="5" t="s">
        <v>11103</v>
      </c>
    </row>
    <row r="2518" spans="2:35" ht="21" customHeight="1" outlineLevel="4" x14ac:dyDescent="0.2">
      <c r="B2518" s="42">
        <v>1997</v>
      </c>
      <c r="C2518" s="5" t="s">
        <v>11155</v>
      </c>
      <c r="D2518" s="5" t="s">
        <v>11156</v>
      </c>
      <c r="E2518" s="6" t="s">
        <v>11157</v>
      </c>
      <c r="F2518" s="10"/>
      <c r="G2518" s="11" t="s">
        <v>11101</v>
      </c>
      <c r="H2518" s="12">
        <v>48</v>
      </c>
      <c r="I2518" s="13" t="s">
        <v>41</v>
      </c>
      <c r="J2518" s="13"/>
      <c r="K2518" s="13"/>
      <c r="L2518" s="4">
        <v>8</v>
      </c>
      <c r="M2518" s="14">
        <f>87*(1-P3/100)</f>
        <v>87</v>
      </c>
      <c r="N2518" s="15"/>
      <c r="O2518" s="13">
        <f t="shared" si="112"/>
        <v>0</v>
      </c>
      <c r="P2518" s="22">
        <f>0.054*N2518</f>
        <v>0</v>
      </c>
      <c r="Q2518" s="23">
        <f>0.00013*N2518</f>
        <v>0</v>
      </c>
      <c r="R2518" s="24"/>
      <c r="S2518" s="25" t="s">
        <v>11158</v>
      </c>
      <c r="T2518" s="25" t="s">
        <v>43</v>
      </c>
      <c r="U2518" s="5"/>
      <c r="V2518" s="5"/>
      <c r="W2518" s="5" t="s">
        <v>46</v>
      </c>
      <c r="X2518" s="5" t="s">
        <v>253</v>
      </c>
      <c r="Y2518" s="5"/>
      <c r="Z2518" s="5" t="str">
        <f>HYPERLINK("https://knigipp.ru/api/getInfo/image/83cca63f-c686-11e1-81d3-5ef3fc502493")</f>
        <v>https://knigipp.ru/api/getInfo/image/83cca63f-c686-11e1-81d3-5ef3fc502493</v>
      </c>
      <c r="AA2518" s="33">
        <v>10</v>
      </c>
      <c r="AB2518" s="5"/>
      <c r="AC2518" s="5" t="s">
        <v>140</v>
      </c>
      <c r="AD2518" s="5"/>
      <c r="AE2518" s="5" t="s">
        <v>49</v>
      </c>
      <c r="AF2518" s="5"/>
      <c r="AG2518" s="5" t="s">
        <v>10840</v>
      </c>
      <c r="AH2518" s="5" t="s">
        <v>11103</v>
      </c>
    </row>
    <row r="2519" spans="2:35" ht="21" customHeight="1" outlineLevel="4" x14ac:dyDescent="0.2">
      <c r="B2519" s="42">
        <v>1998</v>
      </c>
      <c r="C2519" s="5" t="s">
        <v>11159</v>
      </c>
      <c r="D2519" s="5" t="s">
        <v>11160</v>
      </c>
      <c r="E2519" s="6" t="s">
        <v>11161</v>
      </c>
      <c r="F2519" s="10"/>
      <c r="G2519" s="11" t="s">
        <v>11101</v>
      </c>
      <c r="H2519" s="12">
        <v>48</v>
      </c>
      <c r="I2519" s="13" t="s">
        <v>41</v>
      </c>
      <c r="J2519" s="13"/>
      <c r="K2519" s="13"/>
      <c r="L2519" s="4">
        <v>8</v>
      </c>
      <c r="M2519" s="14">
        <f>87*(1-P3/100)</f>
        <v>87</v>
      </c>
      <c r="N2519" s="15"/>
      <c r="O2519" s="13">
        <f t="shared" si="112"/>
        <v>0</v>
      </c>
      <c r="P2519" s="32">
        <f>0.07*N2519</f>
        <v>0</v>
      </c>
      <c r="Q2519" s="23">
        <f>0.00011*N2519</f>
        <v>0</v>
      </c>
      <c r="R2519" s="24"/>
      <c r="S2519" s="25" t="s">
        <v>11162</v>
      </c>
      <c r="T2519" s="25" t="s">
        <v>43</v>
      </c>
      <c r="U2519" s="5"/>
      <c r="V2519" s="5"/>
      <c r="W2519" s="5" t="s">
        <v>46</v>
      </c>
      <c r="X2519" s="5" t="s">
        <v>9262</v>
      </c>
      <c r="Y2519" s="5"/>
      <c r="Z2519" s="5" t="str">
        <f>HYPERLINK("https://knigipp.ru/api/getInfo/image/83cca640-c686-11e1-81d3-5ef3fc502493")</f>
        <v>https://knigipp.ru/api/getInfo/image/83cca640-c686-11e1-81d3-5ef3fc502493</v>
      </c>
      <c r="AA2519" s="33">
        <v>10</v>
      </c>
      <c r="AB2519" s="5"/>
      <c r="AC2519" s="5" t="s">
        <v>140</v>
      </c>
      <c r="AD2519" s="5"/>
      <c r="AE2519" s="5" t="s">
        <v>49</v>
      </c>
      <c r="AF2519" s="5"/>
      <c r="AG2519" s="5" t="s">
        <v>10840</v>
      </c>
      <c r="AH2519" s="5" t="s">
        <v>11103</v>
      </c>
    </row>
    <row r="2520" spans="2:35" ht="21" customHeight="1" outlineLevel="4" x14ac:dyDescent="0.2">
      <c r="B2520" s="42">
        <v>1999</v>
      </c>
      <c r="C2520" s="5" t="s">
        <v>11163</v>
      </c>
      <c r="D2520" s="5" t="s">
        <v>11164</v>
      </c>
      <c r="E2520" s="6" t="s">
        <v>11165</v>
      </c>
      <c r="F2520" s="10"/>
      <c r="G2520" s="11" t="s">
        <v>11101</v>
      </c>
      <c r="H2520" s="12">
        <v>48</v>
      </c>
      <c r="I2520" s="13" t="s">
        <v>41</v>
      </c>
      <c r="J2520" s="13"/>
      <c r="K2520" s="13"/>
      <c r="L2520" s="4">
        <v>8</v>
      </c>
      <c r="M2520" s="14">
        <f>87*(1-P3/100)</f>
        <v>87</v>
      </c>
      <c r="N2520" s="15"/>
      <c r="O2520" s="13">
        <f t="shared" si="112"/>
        <v>0</v>
      </c>
      <c r="P2520" s="22">
        <f>0.056*N2520</f>
        <v>0</v>
      </c>
      <c r="Q2520" s="23">
        <f>0.00015*N2520</f>
        <v>0</v>
      </c>
      <c r="R2520" s="24"/>
      <c r="S2520" s="25" t="s">
        <v>11166</v>
      </c>
      <c r="T2520" s="25" t="s">
        <v>43</v>
      </c>
      <c r="U2520" s="5" t="s">
        <v>11167</v>
      </c>
      <c r="V2520" s="5"/>
      <c r="W2520" s="5" t="s">
        <v>46</v>
      </c>
      <c r="X2520" s="5" t="s">
        <v>9262</v>
      </c>
      <c r="Y2520" s="5"/>
      <c r="Z2520" s="5" t="str">
        <f>HYPERLINK("https://knigipp.ru/api/getInfo/image/83cca643-c686-11e1-81d3-5ef3fc502493")</f>
        <v>https://knigipp.ru/api/getInfo/image/83cca643-c686-11e1-81d3-5ef3fc502493</v>
      </c>
      <c r="AA2520" s="33">
        <v>10</v>
      </c>
      <c r="AB2520" s="5"/>
      <c r="AC2520" s="5" t="s">
        <v>140</v>
      </c>
      <c r="AD2520" s="5"/>
      <c r="AE2520" s="5" t="s">
        <v>49</v>
      </c>
      <c r="AF2520" s="5"/>
      <c r="AG2520" s="5" t="s">
        <v>10840</v>
      </c>
      <c r="AH2520" s="5" t="s">
        <v>11103</v>
      </c>
    </row>
    <row r="2521" spans="2:35" ht="21" customHeight="1" outlineLevel="4" x14ac:dyDescent="0.2">
      <c r="B2521" s="42">
        <v>2000</v>
      </c>
      <c r="C2521" s="5" t="s">
        <v>11168</v>
      </c>
      <c r="D2521" s="5" t="s">
        <v>11169</v>
      </c>
      <c r="E2521" s="6" t="s">
        <v>11170</v>
      </c>
      <c r="F2521" s="10"/>
      <c r="G2521" s="11" t="s">
        <v>11101</v>
      </c>
      <c r="H2521" s="12">
        <v>48</v>
      </c>
      <c r="I2521" s="13" t="s">
        <v>41</v>
      </c>
      <c r="J2521" s="13"/>
      <c r="K2521" s="13"/>
      <c r="L2521" s="4">
        <v>8</v>
      </c>
      <c r="M2521" s="14">
        <f>87*(1-P3/100)</f>
        <v>87</v>
      </c>
      <c r="N2521" s="15"/>
      <c r="O2521" s="13">
        <f t="shared" si="112"/>
        <v>0</v>
      </c>
      <c r="P2521" s="32">
        <f>0.07*N2521</f>
        <v>0</v>
      </c>
      <c r="Q2521" s="23">
        <f>0.00011*N2521</f>
        <v>0</v>
      </c>
      <c r="R2521" s="24"/>
      <c r="S2521" s="25" t="s">
        <v>11171</v>
      </c>
      <c r="T2521" s="25" t="s">
        <v>43</v>
      </c>
      <c r="U2521" s="5"/>
      <c r="V2521" s="5"/>
      <c r="W2521" s="5" t="s">
        <v>46</v>
      </c>
      <c r="X2521" s="5" t="s">
        <v>3900</v>
      </c>
      <c r="Y2521" s="5"/>
      <c r="Z2521" s="5" t="str">
        <f>HYPERLINK("https://knigipp.ru/api/getInfo/image/83cca647-c686-11e1-81d3-5ef3fc502493")</f>
        <v>https://knigipp.ru/api/getInfo/image/83cca647-c686-11e1-81d3-5ef3fc502493</v>
      </c>
      <c r="AA2521" s="33">
        <v>10</v>
      </c>
      <c r="AB2521" s="5"/>
      <c r="AC2521" s="5" t="s">
        <v>140</v>
      </c>
      <c r="AD2521" s="5"/>
      <c r="AE2521" s="5" t="s">
        <v>49</v>
      </c>
      <c r="AF2521" s="5"/>
      <c r="AG2521" s="5" t="s">
        <v>10840</v>
      </c>
      <c r="AH2521" s="5" t="s">
        <v>11103</v>
      </c>
    </row>
    <row r="2522" spans="2:35" ht="21" customHeight="1" outlineLevel="4" x14ac:dyDescent="0.2">
      <c r="B2522" s="42">
        <v>2001</v>
      </c>
      <c r="C2522" s="5" t="s">
        <v>11172</v>
      </c>
      <c r="D2522" s="5" t="s">
        <v>11173</v>
      </c>
      <c r="E2522" s="6" t="s">
        <v>11174</v>
      </c>
      <c r="F2522" s="10"/>
      <c r="G2522" s="11" t="s">
        <v>11101</v>
      </c>
      <c r="H2522" s="12">
        <v>48</v>
      </c>
      <c r="I2522" s="13" t="s">
        <v>41</v>
      </c>
      <c r="J2522" s="13"/>
      <c r="K2522" s="13"/>
      <c r="L2522" s="4">
        <v>8</v>
      </c>
      <c r="M2522" s="14">
        <f>87*(1-P3/100)</f>
        <v>87</v>
      </c>
      <c r="N2522" s="15"/>
      <c r="O2522" s="13">
        <f t="shared" si="112"/>
        <v>0</v>
      </c>
      <c r="P2522" s="22">
        <f>0.057*N2522</f>
        <v>0</v>
      </c>
      <c r="Q2522" s="23">
        <f>0.00017*N2522</f>
        <v>0</v>
      </c>
      <c r="R2522" s="24"/>
      <c r="S2522" s="25" t="s">
        <v>11175</v>
      </c>
      <c r="T2522" s="25" t="s">
        <v>43</v>
      </c>
      <c r="U2522" s="5" t="s">
        <v>11176</v>
      </c>
      <c r="V2522" s="5"/>
      <c r="W2522" s="5" t="s">
        <v>46</v>
      </c>
      <c r="X2522" s="5" t="s">
        <v>9262</v>
      </c>
      <c r="Y2522" s="5"/>
      <c r="Z2522" s="5" t="str">
        <f>HYPERLINK("https://knigipp.ru/api/getInfo/image/83cca64a-c686-11e1-81d3-5ef3fc502493")</f>
        <v>https://knigipp.ru/api/getInfo/image/83cca64a-c686-11e1-81d3-5ef3fc502493</v>
      </c>
      <c r="AA2522" s="33">
        <v>10</v>
      </c>
      <c r="AB2522" s="5"/>
      <c r="AC2522" s="5" t="s">
        <v>140</v>
      </c>
      <c r="AD2522" s="5"/>
      <c r="AE2522" s="5" t="s">
        <v>49</v>
      </c>
      <c r="AF2522" s="5"/>
      <c r="AG2522" s="5" t="s">
        <v>10840</v>
      </c>
      <c r="AH2522" s="5" t="s">
        <v>11103</v>
      </c>
    </row>
    <row r="2523" spans="2:35" ht="21" customHeight="1" outlineLevel="4" x14ac:dyDescent="0.2">
      <c r="B2523" s="42">
        <v>2002</v>
      </c>
      <c r="C2523" s="5" t="s">
        <v>11177</v>
      </c>
      <c r="D2523" s="5" t="s">
        <v>11178</v>
      </c>
      <c r="E2523" s="6" t="s">
        <v>11179</v>
      </c>
      <c r="F2523" s="10"/>
      <c r="G2523" s="11" t="s">
        <v>10884</v>
      </c>
      <c r="H2523" s="12">
        <v>48</v>
      </c>
      <c r="I2523" s="13" t="s">
        <v>41</v>
      </c>
      <c r="J2523" s="13"/>
      <c r="K2523" s="13"/>
      <c r="L2523" s="4">
        <v>8</v>
      </c>
      <c r="M2523" s="14">
        <f>87*(1-P3/100)</f>
        <v>87</v>
      </c>
      <c r="N2523" s="15"/>
      <c r="O2523" s="13">
        <f t="shared" si="112"/>
        <v>0</v>
      </c>
      <c r="P2523" s="22">
        <f>0.058*N2523</f>
        <v>0</v>
      </c>
      <c r="Q2523" s="23">
        <f>0.00022*N2523</f>
        <v>0</v>
      </c>
      <c r="R2523" s="24"/>
      <c r="S2523" s="25" t="s">
        <v>11180</v>
      </c>
      <c r="T2523" s="25" t="s">
        <v>43</v>
      </c>
      <c r="U2523" s="5" t="s">
        <v>5271</v>
      </c>
      <c r="V2523" s="5" t="s">
        <v>11181</v>
      </c>
      <c r="W2523" s="5" t="s">
        <v>46</v>
      </c>
      <c r="X2523" s="5"/>
      <c r="Y2523" s="5"/>
      <c r="Z2523" s="5" t="str">
        <f>HYPERLINK("https://knigipp.ru/api/getInfo/image/969b2a97-84c8-11f0-a284-00155d82e908")</f>
        <v>https://knigipp.ru/api/getInfo/image/969b2a97-84c8-11f0-a284-00155d82e908</v>
      </c>
      <c r="AA2523" s="33">
        <v>10</v>
      </c>
      <c r="AB2523" s="5"/>
      <c r="AC2523" s="5" t="s">
        <v>140</v>
      </c>
      <c r="AD2523" s="5"/>
      <c r="AE2523" s="5" t="s">
        <v>49</v>
      </c>
      <c r="AF2523" s="5"/>
      <c r="AG2523" s="5" t="s">
        <v>10840</v>
      </c>
      <c r="AH2523" s="5" t="s">
        <v>11103</v>
      </c>
    </row>
    <row r="2524" spans="2:35" ht="21" customHeight="1" outlineLevel="4" x14ac:dyDescent="0.2">
      <c r="B2524" s="43">
        <v>2003</v>
      </c>
      <c r="C2524" s="8" t="s">
        <v>11182</v>
      </c>
      <c r="D2524" s="8" t="s">
        <v>11183</v>
      </c>
      <c r="E2524" s="9" t="s">
        <v>11184</v>
      </c>
      <c r="F2524" s="16"/>
      <c r="G2524" s="17" t="s">
        <v>11185</v>
      </c>
      <c r="H2524" s="18">
        <v>48</v>
      </c>
      <c r="I2524" s="19" t="s">
        <v>41</v>
      </c>
      <c r="J2524" s="19"/>
      <c r="K2524" s="19"/>
      <c r="L2524" s="7">
        <v>8</v>
      </c>
      <c r="M2524" s="21">
        <f>87*(1-P3/100)</f>
        <v>87</v>
      </c>
      <c r="N2524" s="15"/>
      <c r="O2524" s="19">
        <f t="shared" si="112"/>
        <v>0</v>
      </c>
      <c r="P2524" s="26">
        <f>0.055*N2524</f>
        <v>0</v>
      </c>
      <c r="Q2524" s="27">
        <f>0.00011*N2524</f>
        <v>0</v>
      </c>
      <c r="R2524" s="28" t="s">
        <v>81</v>
      </c>
      <c r="S2524" s="29" t="s">
        <v>11186</v>
      </c>
      <c r="T2524" s="29" t="s">
        <v>43</v>
      </c>
      <c r="U2524" s="8" t="s">
        <v>11187</v>
      </c>
      <c r="V2524" s="8" t="s">
        <v>11188</v>
      </c>
      <c r="W2524" s="8" t="s">
        <v>46</v>
      </c>
      <c r="X2524" s="8"/>
      <c r="Y2524" s="8"/>
      <c r="Z2524" s="8" t="str">
        <f>HYPERLINK("https://knigipp.ru/api/getInfo/image/fa57be48-9dfd-11f0-a285-00155d82e908")</f>
        <v>https://knigipp.ru/api/getInfo/image/fa57be48-9dfd-11f0-a285-00155d82e908</v>
      </c>
      <c r="AA2524" s="34">
        <v>10</v>
      </c>
      <c r="AB2524" s="8" t="s">
        <v>47</v>
      </c>
      <c r="AC2524" s="8" t="s">
        <v>140</v>
      </c>
      <c r="AD2524" s="8"/>
      <c r="AE2524" s="8" t="s">
        <v>49</v>
      </c>
      <c r="AF2524" s="8"/>
      <c r="AG2524" s="8" t="s">
        <v>10840</v>
      </c>
      <c r="AH2524" s="8" t="s">
        <v>11103</v>
      </c>
      <c r="AI2524" s="55"/>
    </row>
    <row r="2525" spans="2:35" ht="21" customHeight="1" outlineLevel="4" x14ac:dyDescent="0.2">
      <c r="B2525" s="42">
        <v>2004</v>
      </c>
      <c r="C2525" s="5" t="s">
        <v>11189</v>
      </c>
      <c r="D2525" s="5" t="s">
        <v>11190</v>
      </c>
      <c r="E2525" s="6" t="s">
        <v>11191</v>
      </c>
      <c r="F2525" s="10"/>
      <c r="G2525" s="11" t="s">
        <v>11101</v>
      </c>
      <c r="H2525" s="12">
        <v>48</v>
      </c>
      <c r="I2525" s="13" t="s">
        <v>41</v>
      </c>
      <c r="J2525" s="13"/>
      <c r="K2525" s="13"/>
      <c r="L2525" s="4">
        <v>8</v>
      </c>
      <c r="M2525" s="14">
        <f>87*(1-P3/100)</f>
        <v>87</v>
      </c>
      <c r="N2525" s="15"/>
      <c r="O2525" s="13">
        <f t="shared" si="112"/>
        <v>0</v>
      </c>
      <c r="P2525" s="32">
        <f>0.07*N2525</f>
        <v>0</v>
      </c>
      <c r="Q2525" s="23">
        <f>0.00011*N2525</f>
        <v>0</v>
      </c>
      <c r="R2525" s="24"/>
      <c r="S2525" s="25" t="s">
        <v>11192</v>
      </c>
      <c r="T2525" s="25" t="s">
        <v>43</v>
      </c>
      <c r="U2525" s="5"/>
      <c r="V2525" s="5"/>
      <c r="W2525" s="5" t="s">
        <v>46</v>
      </c>
      <c r="X2525" s="5" t="s">
        <v>9262</v>
      </c>
      <c r="Y2525" s="5"/>
      <c r="Z2525" s="5" t="str">
        <f>HYPERLINK("https://knigipp.ru/api/getInfo/image/83cca64c-c686-11e1-81d3-5ef3fc502493")</f>
        <v>https://knigipp.ru/api/getInfo/image/83cca64c-c686-11e1-81d3-5ef3fc502493</v>
      </c>
      <c r="AA2525" s="33">
        <v>10</v>
      </c>
      <c r="AB2525" s="5"/>
      <c r="AC2525" s="5" t="s">
        <v>140</v>
      </c>
      <c r="AD2525" s="5"/>
      <c r="AE2525" s="5" t="s">
        <v>49</v>
      </c>
      <c r="AF2525" s="5"/>
      <c r="AG2525" s="5" t="s">
        <v>10840</v>
      </c>
      <c r="AH2525" s="5" t="s">
        <v>11103</v>
      </c>
    </row>
    <row r="2526" spans="2:35" ht="21" customHeight="1" outlineLevel="4" x14ac:dyDescent="0.2">
      <c r="B2526" s="42">
        <v>2005</v>
      </c>
      <c r="C2526" s="5" t="s">
        <v>11193</v>
      </c>
      <c r="D2526" s="5" t="s">
        <v>11194</v>
      </c>
      <c r="E2526" s="6" t="s">
        <v>11195</v>
      </c>
      <c r="F2526" s="10"/>
      <c r="G2526" s="11" t="s">
        <v>11101</v>
      </c>
      <c r="H2526" s="12">
        <v>48</v>
      </c>
      <c r="I2526" s="13" t="s">
        <v>41</v>
      </c>
      <c r="J2526" s="13"/>
      <c r="K2526" s="13"/>
      <c r="L2526" s="4">
        <v>8</v>
      </c>
      <c r="M2526" s="14">
        <f>87*(1-P3/100)</f>
        <v>87</v>
      </c>
      <c r="N2526" s="15"/>
      <c r="O2526" s="13">
        <f t="shared" si="112"/>
        <v>0</v>
      </c>
      <c r="P2526" s="22">
        <f>0.054*N2526</f>
        <v>0</v>
      </c>
      <c r="Q2526" s="23">
        <f>0.00011*N2526</f>
        <v>0</v>
      </c>
      <c r="R2526" s="24"/>
      <c r="S2526" s="25" t="s">
        <v>11196</v>
      </c>
      <c r="T2526" s="25" t="s">
        <v>43</v>
      </c>
      <c r="U2526" s="5" t="s">
        <v>7613</v>
      </c>
      <c r="V2526" s="5"/>
      <c r="W2526" s="5" t="s">
        <v>46</v>
      </c>
      <c r="X2526" s="5" t="s">
        <v>9262</v>
      </c>
      <c r="Y2526" s="5"/>
      <c r="Z2526" s="5" t="str">
        <f>HYPERLINK("https://knigipp.ru/api/getInfo/image/83cca64e-c686-11e1-81d3-5ef3fc502493")</f>
        <v>https://knigipp.ru/api/getInfo/image/83cca64e-c686-11e1-81d3-5ef3fc502493</v>
      </c>
      <c r="AA2526" s="33">
        <v>10</v>
      </c>
      <c r="AB2526" s="5"/>
      <c r="AC2526" s="5" t="s">
        <v>140</v>
      </c>
      <c r="AD2526" s="5"/>
      <c r="AE2526" s="5" t="s">
        <v>49</v>
      </c>
      <c r="AF2526" s="5"/>
      <c r="AG2526" s="5" t="s">
        <v>10840</v>
      </c>
      <c r="AH2526" s="5" t="s">
        <v>11103</v>
      </c>
    </row>
    <row r="2527" spans="2:35" ht="21" customHeight="1" outlineLevel="4" x14ac:dyDescent="0.2">
      <c r="B2527" s="42">
        <v>2006</v>
      </c>
      <c r="C2527" s="5" t="s">
        <v>11197</v>
      </c>
      <c r="D2527" s="5" t="s">
        <v>11198</v>
      </c>
      <c r="E2527" s="6" t="s">
        <v>11199</v>
      </c>
      <c r="F2527" s="10"/>
      <c r="G2527" s="11" t="s">
        <v>11101</v>
      </c>
      <c r="H2527" s="12">
        <v>48</v>
      </c>
      <c r="I2527" s="13" t="s">
        <v>41</v>
      </c>
      <c r="J2527" s="13"/>
      <c r="K2527" s="13"/>
      <c r="L2527" s="4">
        <v>8</v>
      </c>
      <c r="M2527" s="14">
        <f>87*(1-P3/100)</f>
        <v>87</v>
      </c>
      <c r="N2527" s="15"/>
      <c r="O2527" s="13">
        <f t="shared" si="112"/>
        <v>0</v>
      </c>
      <c r="P2527" s="32">
        <f>0.07*N2527</f>
        <v>0</v>
      </c>
      <c r="Q2527" s="23">
        <f>0.00011*N2527</f>
        <v>0</v>
      </c>
      <c r="R2527" s="24"/>
      <c r="S2527" s="25" t="s">
        <v>11200</v>
      </c>
      <c r="T2527" s="25" t="s">
        <v>43</v>
      </c>
      <c r="U2527" s="5"/>
      <c r="V2527" s="5"/>
      <c r="W2527" s="5" t="s">
        <v>46</v>
      </c>
      <c r="X2527" s="5" t="s">
        <v>3900</v>
      </c>
      <c r="Y2527" s="5"/>
      <c r="Z2527" s="5" t="str">
        <f>HYPERLINK("https://knigipp.ru/api/getInfo/image/83cca651-c686-11e1-81d3-5ef3fc502493")</f>
        <v>https://knigipp.ru/api/getInfo/image/83cca651-c686-11e1-81d3-5ef3fc502493</v>
      </c>
      <c r="AA2527" s="33">
        <v>10</v>
      </c>
      <c r="AB2527" s="5"/>
      <c r="AC2527" s="5" t="s">
        <v>140</v>
      </c>
      <c r="AD2527" s="5"/>
      <c r="AE2527" s="5" t="s">
        <v>49</v>
      </c>
      <c r="AF2527" s="5"/>
      <c r="AG2527" s="5" t="s">
        <v>10840</v>
      </c>
      <c r="AH2527" s="5" t="s">
        <v>11103</v>
      </c>
    </row>
    <row r="2528" spans="2:35" ht="21" customHeight="1" outlineLevel="4" x14ac:dyDescent="0.2">
      <c r="B2528" s="42">
        <v>2007</v>
      </c>
      <c r="C2528" s="5" t="s">
        <v>11201</v>
      </c>
      <c r="D2528" s="5" t="s">
        <v>11202</v>
      </c>
      <c r="E2528" s="6" t="s">
        <v>11203</v>
      </c>
      <c r="F2528" s="10"/>
      <c r="G2528" s="11" t="s">
        <v>11101</v>
      </c>
      <c r="H2528" s="12">
        <v>48</v>
      </c>
      <c r="I2528" s="13" t="s">
        <v>41</v>
      </c>
      <c r="J2528" s="13"/>
      <c r="K2528" s="13"/>
      <c r="L2528" s="4">
        <v>8</v>
      </c>
      <c r="M2528" s="14">
        <f>87*(1-P3/100)</f>
        <v>87</v>
      </c>
      <c r="N2528" s="15"/>
      <c r="O2528" s="13">
        <f t="shared" si="112"/>
        <v>0</v>
      </c>
      <c r="P2528" s="22">
        <f>0.055*N2528</f>
        <v>0</v>
      </c>
      <c r="Q2528" s="23">
        <f>0.00009*N2528</f>
        <v>0</v>
      </c>
      <c r="R2528" s="24"/>
      <c r="S2528" s="25" t="s">
        <v>11204</v>
      </c>
      <c r="T2528" s="25" t="s">
        <v>43</v>
      </c>
      <c r="U2528" s="5"/>
      <c r="V2528" s="5"/>
      <c r="W2528" s="5" t="s">
        <v>46</v>
      </c>
      <c r="X2528" s="5" t="s">
        <v>253</v>
      </c>
      <c r="Y2528" s="5"/>
      <c r="Z2528" s="5" t="str">
        <f>HYPERLINK("https://knigipp.ru/api/getInfo/image/83cca653-c686-11e1-81d3-5ef3fc502493")</f>
        <v>https://knigipp.ru/api/getInfo/image/83cca653-c686-11e1-81d3-5ef3fc502493</v>
      </c>
      <c r="AA2528" s="33">
        <v>10</v>
      </c>
      <c r="AB2528" s="5"/>
      <c r="AC2528" s="5" t="s">
        <v>140</v>
      </c>
      <c r="AD2528" s="5"/>
      <c r="AE2528" s="5" t="s">
        <v>49</v>
      </c>
      <c r="AF2528" s="5"/>
      <c r="AG2528" s="5" t="s">
        <v>10840</v>
      </c>
      <c r="AH2528" s="5" t="s">
        <v>11103</v>
      </c>
    </row>
    <row r="2529" spans="2:35" ht="21" customHeight="1" outlineLevel="4" x14ac:dyDescent="0.2">
      <c r="B2529" s="43">
        <v>2008</v>
      </c>
      <c r="C2529" s="8" t="s">
        <v>11205</v>
      </c>
      <c r="D2529" s="8" t="s">
        <v>11206</v>
      </c>
      <c r="E2529" s="9" t="s">
        <v>11207</v>
      </c>
      <c r="F2529" s="16"/>
      <c r="G2529" s="17" t="s">
        <v>11185</v>
      </c>
      <c r="H2529" s="18">
        <v>48</v>
      </c>
      <c r="I2529" s="19" t="s">
        <v>41</v>
      </c>
      <c r="J2529" s="19"/>
      <c r="K2529" s="19"/>
      <c r="L2529" s="7">
        <v>8</v>
      </c>
      <c r="M2529" s="21">
        <f>87*(1-P3/100)</f>
        <v>87</v>
      </c>
      <c r="N2529" s="15"/>
      <c r="O2529" s="19">
        <f t="shared" si="112"/>
        <v>0</v>
      </c>
      <c r="P2529" s="26">
        <f>0.056*N2529</f>
        <v>0</v>
      </c>
      <c r="Q2529" s="27">
        <f>0.00009*N2529</f>
        <v>0</v>
      </c>
      <c r="R2529" s="28" t="s">
        <v>81</v>
      </c>
      <c r="S2529" s="29" t="s">
        <v>11208</v>
      </c>
      <c r="T2529" s="29" t="s">
        <v>43</v>
      </c>
      <c r="U2529" s="8"/>
      <c r="V2529" s="8" t="s">
        <v>11209</v>
      </c>
      <c r="W2529" s="8" t="s">
        <v>46</v>
      </c>
      <c r="X2529" s="8"/>
      <c r="Y2529" s="8"/>
      <c r="Z2529" s="8" t="str">
        <f>HYPERLINK("https://knigipp.ru/api/getInfo/image/2f229941-9dfe-11f0-a285-00155d82e908")</f>
        <v>https://knigipp.ru/api/getInfo/image/2f229941-9dfe-11f0-a285-00155d82e908</v>
      </c>
      <c r="AA2529" s="34">
        <v>10</v>
      </c>
      <c r="AB2529" s="8" t="s">
        <v>47</v>
      </c>
      <c r="AC2529" s="8" t="s">
        <v>140</v>
      </c>
      <c r="AD2529" s="8"/>
      <c r="AE2529" s="8" t="s">
        <v>49</v>
      </c>
      <c r="AF2529" s="8"/>
      <c r="AG2529" s="8" t="s">
        <v>10840</v>
      </c>
      <c r="AH2529" s="8" t="s">
        <v>11103</v>
      </c>
      <c r="AI2529" s="55"/>
    </row>
    <row r="2530" spans="2:35" ht="21" customHeight="1" outlineLevel="4" x14ac:dyDescent="0.2">
      <c r="B2530" s="42">
        <v>2009</v>
      </c>
      <c r="C2530" s="5" t="s">
        <v>11210</v>
      </c>
      <c r="D2530" s="5" t="s">
        <v>11211</v>
      </c>
      <c r="E2530" s="6" t="s">
        <v>11212</v>
      </c>
      <c r="F2530" s="10"/>
      <c r="G2530" s="11" t="s">
        <v>11101</v>
      </c>
      <c r="H2530" s="12">
        <v>48</v>
      </c>
      <c r="I2530" s="13" t="s">
        <v>41</v>
      </c>
      <c r="J2530" s="13"/>
      <c r="K2530" s="13"/>
      <c r="L2530" s="4">
        <v>8</v>
      </c>
      <c r="M2530" s="14">
        <f>87*(1-P3/100)</f>
        <v>87</v>
      </c>
      <c r="N2530" s="15"/>
      <c r="O2530" s="13">
        <f t="shared" si="112"/>
        <v>0</v>
      </c>
      <c r="P2530" s="22">
        <f>0.059*N2530</f>
        <v>0</v>
      </c>
      <c r="Q2530" s="23">
        <f>0.00009*N2530</f>
        <v>0</v>
      </c>
      <c r="R2530" s="24"/>
      <c r="S2530" s="25" t="s">
        <v>11213</v>
      </c>
      <c r="T2530" s="25" t="s">
        <v>43</v>
      </c>
      <c r="U2530" s="5"/>
      <c r="V2530" s="5"/>
      <c r="W2530" s="5" t="s">
        <v>46</v>
      </c>
      <c r="X2530" s="5"/>
      <c r="Y2530" s="5"/>
      <c r="Z2530" s="5" t="str">
        <f>HYPERLINK("https://knigipp.ru/api/getInfo/image/0f39449f-3772-11ee-a240-00155d82e902")</f>
        <v>https://knigipp.ru/api/getInfo/image/0f39449f-3772-11ee-a240-00155d82e902</v>
      </c>
      <c r="AA2530" s="33">
        <v>10</v>
      </c>
      <c r="AB2530" s="5" t="s">
        <v>47</v>
      </c>
      <c r="AC2530" s="5" t="s">
        <v>140</v>
      </c>
      <c r="AD2530" s="5"/>
      <c r="AE2530" s="5" t="s">
        <v>49</v>
      </c>
      <c r="AF2530" s="5"/>
      <c r="AG2530" s="5" t="s">
        <v>10840</v>
      </c>
      <c r="AH2530" s="5" t="s">
        <v>11103</v>
      </c>
    </row>
    <row r="2531" spans="2:35" ht="21" customHeight="1" outlineLevel="4" x14ac:dyDescent="0.2">
      <c r="B2531" s="42">
        <v>2010</v>
      </c>
      <c r="C2531" s="5" t="s">
        <v>11214</v>
      </c>
      <c r="D2531" s="5" t="s">
        <v>11215</v>
      </c>
      <c r="E2531" s="6" t="s">
        <v>11216</v>
      </c>
      <c r="F2531" s="10"/>
      <c r="G2531" s="11" t="s">
        <v>11101</v>
      </c>
      <c r="H2531" s="12">
        <v>48</v>
      </c>
      <c r="I2531" s="13" t="s">
        <v>41</v>
      </c>
      <c r="J2531" s="13"/>
      <c r="K2531" s="13"/>
      <c r="L2531" s="4">
        <v>8</v>
      </c>
      <c r="M2531" s="14">
        <f>87*(1-P3/100)</f>
        <v>87</v>
      </c>
      <c r="N2531" s="15"/>
      <c r="O2531" s="13">
        <f t="shared" si="112"/>
        <v>0</v>
      </c>
      <c r="P2531" s="22">
        <f>0.055*N2531</f>
        <v>0</v>
      </c>
      <c r="Q2531" s="23">
        <f>0.00019*N2531</f>
        <v>0</v>
      </c>
      <c r="R2531" s="24"/>
      <c r="S2531" s="25" t="s">
        <v>11217</v>
      </c>
      <c r="T2531" s="25" t="s">
        <v>43</v>
      </c>
      <c r="U2531" s="5" t="s">
        <v>11218</v>
      </c>
      <c r="V2531" s="5"/>
      <c r="W2531" s="5" t="s">
        <v>46</v>
      </c>
      <c r="X2531" s="5" t="s">
        <v>10020</v>
      </c>
      <c r="Y2531" s="5"/>
      <c r="Z2531" s="5" t="str">
        <f>HYPERLINK("https://knigipp.ru/api/getInfo/image/83cca65d-c686-11e1-81d3-5ef3fc502493")</f>
        <v>https://knigipp.ru/api/getInfo/image/83cca65d-c686-11e1-81d3-5ef3fc502493</v>
      </c>
      <c r="AA2531" s="33">
        <v>10</v>
      </c>
      <c r="AB2531" s="5"/>
      <c r="AC2531" s="5" t="s">
        <v>140</v>
      </c>
      <c r="AD2531" s="5"/>
      <c r="AE2531" s="5" t="s">
        <v>49</v>
      </c>
      <c r="AF2531" s="5"/>
      <c r="AG2531" s="5" t="s">
        <v>10840</v>
      </c>
      <c r="AH2531" s="5" t="s">
        <v>11103</v>
      </c>
    </row>
    <row r="2532" spans="2:35" ht="21" customHeight="1" outlineLevel="4" x14ac:dyDescent="0.2">
      <c r="B2532" s="42">
        <v>2011</v>
      </c>
      <c r="C2532" s="5" t="s">
        <v>11219</v>
      </c>
      <c r="D2532" s="5" t="s">
        <v>11220</v>
      </c>
      <c r="E2532" s="6" t="s">
        <v>11221</v>
      </c>
      <c r="F2532" s="10"/>
      <c r="G2532" s="11" t="s">
        <v>11101</v>
      </c>
      <c r="H2532" s="12">
        <v>48</v>
      </c>
      <c r="I2532" s="13" t="s">
        <v>41</v>
      </c>
      <c r="J2532" s="13"/>
      <c r="K2532" s="13"/>
      <c r="L2532" s="4">
        <v>8</v>
      </c>
      <c r="M2532" s="14">
        <f>87*(1-P3/100)</f>
        <v>87</v>
      </c>
      <c r="N2532" s="15"/>
      <c r="O2532" s="13">
        <f t="shared" si="112"/>
        <v>0</v>
      </c>
      <c r="P2532" s="22">
        <f>0.061*N2532</f>
        <v>0</v>
      </c>
      <c r="Q2532" s="23">
        <f>0.00012*N2532</f>
        <v>0</v>
      </c>
      <c r="R2532" s="24"/>
      <c r="S2532" s="25" t="s">
        <v>11222</v>
      </c>
      <c r="T2532" s="25" t="s">
        <v>43</v>
      </c>
      <c r="U2532" s="5"/>
      <c r="V2532" s="5"/>
      <c r="W2532" s="5" t="s">
        <v>46</v>
      </c>
      <c r="X2532" s="5" t="s">
        <v>9262</v>
      </c>
      <c r="Y2532" s="5"/>
      <c r="Z2532" s="5" t="str">
        <f>HYPERLINK("https://knigipp.ru/api/getInfo/image/83cca662-c686-11e1-81d3-5ef3fc502493")</f>
        <v>https://knigipp.ru/api/getInfo/image/83cca662-c686-11e1-81d3-5ef3fc502493</v>
      </c>
      <c r="AA2532" s="33">
        <v>10</v>
      </c>
      <c r="AB2532" s="5"/>
      <c r="AC2532" s="5" t="s">
        <v>140</v>
      </c>
      <c r="AD2532" s="5"/>
      <c r="AE2532" s="5" t="s">
        <v>49</v>
      </c>
      <c r="AF2532" s="5"/>
      <c r="AG2532" s="5" t="s">
        <v>10840</v>
      </c>
      <c r="AH2532" s="5" t="s">
        <v>11103</v>
      </c>
    </row>
    <row r="2533" spans="2:35" ht="21" customHeight="1" outlineLevel="4" x14ac:dyDescent="0.2">
      <c r="B2533" s="42">
        <v>2012</v>
      </c>
      <c r="C2533" s="5" t="s">
        <v>11223</v>
      </c>
      <c r="D2533" s="5" t="s">
        <v>11224</v>
      </c>
      <c r="E2533" s="6" t="s">
        <v>11225</v>
      </c>
      <c r="F2533" s="10"/>
      <c r="G2533" s="11" t="s">
        <v>11153</v>
      </c>
      <c r="H2533" s="12">
        <v>48</v>
      </c>
      <c r="I2533" s="13" t="s">
        <v>41</v>
      </c>
      <c r="J2533" s="13"/>
      <c r="K2533" s="13"/>
      <c r="L2533" s="4">
        <v>8</v>
      </c>
      <c r="M2533" s="14">
        <f>87*(1-P3/100)</f>
        <v>87</v>
      </c>
      <c r="N2533" s="15"/>
      <c r="O2533" s="13">
        <f t="shared" si="112"/>
        <v>0</v>
      </c>
      <c r="P2533" s="22">
        <f>0.056*N2533</f>
        <v>0</v>
      </c>
      <c r="Q2533" s="30">
        <f>0.0002*N2533</f>
        <v>0</v>
      </c>
      <c r="R2533" s="24"/>
      <c r="S2533" s="25" t="s">
        <v>11226</v>
      </c>
      <c r="T2533" s="25" t="s">
        <v>43</v>
      </c>
      <c r="U2533" s="5" t="s">
        <v>157</v>
      </c>
      <c r="V2533" s="5"/>
      <c r="W2533" s="5" t="s">
        <v>46</v>
      </c>
      <c r="X2533" s="5"/>
      <c r="Y2533" s="5"/>
      <c r="Z2533" s="5" t="str">
        <f>HYPERLINK("https://knigipp.ru/api/getInfo/image/761bf41e-077e-11e9-a218-ac1f6b442184")</f>
        <v>https://knigipp.ru/api/getInfo/image/761bf41e-077e-11e9-a218-ac1f6b442184</v>
      </c>
      <c r="AA2533" s="33">
        <v>10</v>
      </c>
      <c r="AB2533" s="5"/>
      <c r="AC2533" s="5" t="s">
        <v>140</v>
      </c>
      <c r="AD2533" s="5"/>
      <c r="AE2533" s="5" t="s">
        <v>49</v>
      </c>
      <c r="AF2533" s="5"/>
      <c r="AG2533" s="5"/>
      <c r="AH2533" s="5" t="s">
        <v>11103</v>
      </c>
    </row>
    <row r="2534" spans="2:35" ht="21" customHeight="1" outlineLevel="4" x14ac:dyDescent="0.2">
      <c r="B2534" s="43">
        <v>2013</v>
      </c>
      <c r="C2534" s="8" t="s">
        <v>11227</v>
      </c>
      <c r="D2534" s="8" t="s">
        <v>11228</v>
      </c>
      <c r="E2534" s="9" t="s">
        <v>11229</v>
      </c>
      <c r="F2534" s="16"/>
      <c r="G2534" s="17"/>
      <c r="H2534" s="18">
        <v>48</v>
      </c>
      <c r="I2534" s="19" t="s">
        <v>41</v>
      </c>
      <c r="J2534" s="19"/>
      <c r="K2534" s="19"/>
      <c r="L2534" s="7">
        <v>8</v>
      </c>
      <c r="M2534" s="21">
        <f>87*(1-P3/100)</f>
        <v>87</v>
      </c>
      <c r="N2534" s="15"/>
      <c r="O2534" s="19">
        <f t="shared" si="112"/>
        <v>0</v>
      </c>
      <c r="P2534" s="26">
        <f>0.058*N2534</f>
        <v>0</v>
      </c>
      <c r="Q2534" s="27">
        <f>0.00011*N2534</f>
        <v>0</v>
      </c>
      <c r="R2534" s="28" t="s">
        <v>81</v>
      </c>
      <c r="S2534" s="29" t="s">
        <v>11230</v>
      </c>
      <c r="T2534" s="29" t="s">
        <v>43</v>
      </c>
      <c r="U2534" s="8" t="s">
        <v>11031</v>
      </c>
      <c r="V2534" s="8" t="s">
        <v>11231</v>
      </c>
      <c r="W2534" s="8" t="s">
        <v>46</v>
      </c>
      <c r="X2534" s="8"/>
      <c r="Y2534" s="8"/>
      <c r="Z2534" s="8" t="str">
        <f>HYPERLINK("https://knigipp.ru/api/getInfo/image/00c3923d-b65e-11f0-a286-00155d82e908")</f>
        <v>https://knigipp.ru/api/getInfo/image/00c3923d-b65e-11f0-a286-00155d82e908</v>
      </c>
      <c r="AA2534" s="34">
        <v>10</v>
      </c>
      <c r="AB2534" s="8" t="s">
        <v>47</v>
      </c>
      <c r="AC2534" s="8" t="s">
        <v>140</v>
      </c>
      <c r="AD2534" s="8"/>
      <c r="AE2534" s="8" t="s">
        <v>49</v>
      </c>
      <c r="AF2534" s="8"/>
      <c r="AG2534" s="8"/>
      <c r="AH2534" s="8" t="s">
        <v>11103</v>
      </c>
      <c r="AI2534" s="55"/>
    </row>
    <row r="2535" spans="2:35" ht="21" customHeight="1" outlineLevel="4" x14ac:dyDescent="0.2">
      <c r="B2535" s="43">
        <v>2014</v>
      </c>
      <c r="C2535" s="8" t="s">
        <v>11232</v>
      </c>
      <c r="D2535" s="8" t="s">
        <v>11233</v>
      </c>
      <c r="E2535" s="9" t="s">
        <v>11234</v>
      </c>
      <c r="F2535" s="16"/>
      <c r="G2535" s="17" t="s">
        <v>11185</v>
      </c>
      <c r="H2535" s="18">
        <v>48</v>
      </c>
      <c r="I2535" s="19" t="s">
        <v>41</v>
      </c>
      <c r="J2535" s="19"/>
      <c r="K2535" s="19"/>
      <c r="L2535" s="7">
        <v>8</v>
      </c>
      <c r="M2535" s="21">
        <f>87*(1-P3/100)</f>
        <v>87</v>
      </c>
      <c r="N2535" s="15"/>
      <c r="O2535" s="19">
        <f t="shared" si="112"/>
        <v>0</v>
      </c>
      <c r="P2535" s="26">
        <f>0.057*N2535</f>
        <v>0</v>
      </c>
      <c r="Q2535" s="27">
        <f>0.00009*N2535</f>
        <v>0</v>
      </c>
      <c r="R2535" s="28" t="s">
        <v>81</v>
      </c>
      <c r="S2535" s="29" t="s">
        <v>11235</v>
      </c>
      <c r="T2535" s="29" t="s">
        <v>43</v>
      </c>
      <c r="U2535" s="8" t="s">
        <v>11187</v>
      </c>
      <c r="V2535" s="8" t="s">
        <v>11236</v>
      </c>
      <c r="W2535" s="8" t="s">
        <v>46</v>
      </c>
      <c r="X2535" s="8"/>
      <c r="Y2535" s="8"/>
      <c r="Z2535" s="8" t="str">
        <f>HYPERLINK("https://knigipp.ru/api/getInfo/image/c7828d5e-84c8-11f0-a284-00155d82e908")</f>
        <v>https://knigipp.ru/api/getInfo/image/c7828d5e-84c8-11f0-a284-00155d82e908</v>
      </c>
      <c r="AA2535" s="34">
        <v>10</v>
      </c>
      <c r="AB2535" s="8"/>
      <c r="AC2535" s="8" t="s">
        <v>140</v>
      </c>
      <c r="AD2535" s="8"/>
      <c r="AE2535" s="8" t="s">
        <v>49</v>
      </c>
      <c r="AF2535" s="8"/>
      <c r="AG2535" s="8" t="s">
        <v>10840</v>
      </c>
      <c r="AH2535" s="8" t="s">
        <v>11103</v>
      </c>
      <c r="AI2535" s="55"/>
    </row>
    <row r="2536" spans="2:35" ht="21" customHeight="1" outlineLevel="4" x14ac:dyDescent="0.2">
      <c r="B2536" s="42">
        <v>2015</v>
      </c>
      <c r="C2536" s="5" t="s">
        <v>11237</v>
      </c>
      <c r="D2536" s="5" t="s">
        <v>11238</v>
      </c>
      <c r="E2536" s="6" t="s">
        <v>11239</v>
      </c>
      <c r="F2536" s="10"/>
      <c r="G2536" s="11" t="s">
        <v>11101</v>
      </c>
      <c r="H2536" s="12">
        <v>48</v>
      </c>
      <c r="I2536" s="13" t="s">
        <v>41</v>
      </c>
      <c r="J2536" s="13"/>
      <c r="K2536" s="13"/>
      <c r="L2536" s="4">
        <v>8</v>
      </c>
      <c r="M2536" s="14">
        <f>87*(1-P3/100)</f>
        <v>87</v>
      </c>
      <c r="N2536" s="15"/>
      <c r="O2536" s="13">
        <f t="shared" si="112"/>
        <v>0</v>
      </c>
      <c r="P2536" s="32">
        <f>0.07*N2536</f>
        <v>0</v>
      </c>
      <c r="Q2536" s="23">
        <f>0.00011*N2536</f>
        <v>0</v>
      </c>
      <c r="R2536" s="24"/>
      <c r="S2536" s="25" t="s">
        <v>11240</v>
      </c>
      <c r="T2536" s="25" t="s">
        <v>43</v>
      </c>
      <c r="U2536" s="5"/>
      <c r="V2536" s="5"/>
      <c r="W2536" s="5" t="s">
        <v>46</v>
      </c>
      <c r="X2536" s="5" t="s">
        <v>3900</v>
      </c>
      <c r="Y2536" s="5"/>
      <c r="Z2536" s="5" t="str">
        <f>HYPERLINK("https://knigipp.ru/api/getInfo/image/83cca67d-c686-11e1-81d3-5ef3fc502493")</f>
        <v>https://knigipp.ru/api/getInfo/image/83cca67d-c686-11e1-81d3-5ef3fc502493</v>
      </c>
      <c r="AA2536" s="33">
        <v>10</v>
      </c>
      <c r="AB2536" s="5"/>
      <c r="AC2536" s="5" t="s">
        <v>140</v>
      </c>
      <c r="AD2536" s="5"/>
      <c r="AE2536" s="5" t="s">
        <v>49</v>
      </c>
      <c r="AF2536" s="5"/>
      <c r="AG2536" s="5" t="s">
        <v>10840</v>
      </c>
      <c r="AH2536" s="5" t="s">
        <v>11103</v>
      </c>
    </row>
    <row r="2537" spans="2:35" ht="21" customHeight="1" outlineLevel="4" x14ac:dyDescent="0.2">
      <c r="B2537" s="42">
        <v>2016</v>
      </c>
      <c r="C2537" s="5" t="s">
        <v>11241</v>
      </c>
      <c r="D2537" s="5" t="s">
        <v>11242</v>
      </c>
      <c r="E2537" s="6" t="s">
        <v>11243</v>
      </c>
      <c r="F2537" s="10"/>
      <c r="G2537" s="11" t="s">
        <v>11101</v>
      </c>
      <c r="H2537" s="12">
        <v>48</v>
      </c>
      <c r="I2537" s="13" t="s">
        <v>41</v>
      </c>
      <c r="J2537" s="13"/>
      <c r="K2537" s="13"/>
      <c r="L2537" s="4">
        <v>8</v>
      </c>
      <c r="M2537" s="14">
        <f>87*(1-P3/100)</f>
        <v>87</v>
      </c>
      <c r="N2537" s="15"/>
      <c r="O2537" s="13">
        <f t="shared" si="112"/>
        <v>0</v>
      </c>
      <c r="P2537" s="32">
        <f>0.07*N2537</f>
        <v>0</v>
      </c>
      <c r="Q2537" s="23">
        <f>0.00011*N2537</f>
        <v>0</v>
      </c>
      <c r="R2537" s="24"/>
      <c r="S2537" s="25" t="s">
        <v>11244</v>
      </c>
      <c r="T2537" s="25" t="s">
        <v>43</v>
      </c>
      <c r="U2537" s="5"/>
      <c r="V2537" s="5"/>
      <c r="W2537" s="5" t="s">
        <v>46</v>
      </c>
      <c r="X2537" s="5" t="s">
        <v>253</v>
      </c>
      <c r="Y2537" s="5"/>
      <c r="Z2537" s="5" t="str">
        <f>HYPERLINK("https://knigipp.ru/api/getInfo/image/83cca67e-c686-11e1-81d3-5ef3fc502493")</f>
        <v>https://knigipp.ru/api/getInfo/image/83cca67e-c686-11e1-81d3-5ef3fc502493</v>
      </c>
      <c r="AA2537" s="33">
        <v>10</v>
      </c>
      <c r="AB2537" s="5"/>
      <c r="AC2537" s="5" t="s">
        <v>140</v>
      </c>
      <c r="AD2537" s="5"/>
      <c r="AE2537" s="5" t="s">
        <v>49</v>
      </c>
      <c r="AF2537" s="5"/>
      <c r="AG2537" s="5" t="s">
        <v>10840</v>
      </c>
      <c r="AH2537" s="5" t="s">
        <v>11103</v>
      </c>
    </row>
    <row r="2538" spans="2:35" ht="21" customHeight="1" outlineLevel="4" x14ac:dyDescent="0.2">
      <c r="B2538" s="42">
        <v>2017</v>
      </c>
      <c r="C2538" s="5" t="s">
        <v>11245</v>
      </c>
      <c r="D2538" s="5" t="s">
        <v>11242</v>
      </c>
      <c r="E2538" s="6" t="s">
        <v>11246</v>
      </c>
      <c r="F2538" s="10"/>
      <c r="G2538" s="11" t="s">
        <v>10884</v>
      </c>
      <c r="H2538" s="12">
        <v>48</v>
      </c>
      <c r="I2538" s="13" t="s">
        <v>41</v>
      </c>
      <c r="J2538" s="13"/>
      <c r="K2538" s="13"/>
      <c r="L2538" s="4">
        <v>8</v>
      </c>
      <c r="M2538" s="14">
        <f>87*(1-P3/100)</f>
        <v>87</v>
      </c>
      <c r="N2538" s="15"/>
      <c r="O2538" s="13">
        <f t="shared" si="112"/>
        <v>0</v>
      </c>
      <c r="P2538" s="22">
        <f>0.056*N2538</f>
        <v>0</v>
      </c>
      <c r="Q2538" s="23">
        <f>0.00019*N2538</f>
        <v>0</v>
      </c>
      <c r="R2538" s="24"/>
      <c r="S2538" s="25" t="s">
        <v>11247</v>
      </c>
      <c r="T2538" s="25" t="s">
        <v>43</v>
      </c>
      <c r="U2538" s="5"/>
      <c r="V2538" s="5" t="s">
        <v>11248</v>
      </c>
      <c r="W2538" s="5" t="s">
        <v>46</v>
      </c>
      <c r="X2538" s="5"/>
      <c r="Y2538" s="5"/>
      <c r="Z2538" s="5" t="str">
        <f>HYPERLINK("https://knigipp.ru/api/getInfo/image/d1fc37c0-0e38-11f0-a279-00155d82e908")</f>
        <v>https://knigipp.ru/api/getInfo/image/d1fc37c0-0e38-11f0-a279-00155d82e908</v>
      </c>
      <c r="AA2538" s="33">
        <v>10</v>
      </c>
      <c r="AB2538" s="5" t="s">
        <v>47</v>
      </c>
      <c r="AC2538" s="5" t="s">
        <v>140</v>
      </c>
      <c r="AD2538" s="5"/>
      <c r="AE2538" s="5" t="s">
        <v>49</v>
      </c>
      <c r="AF2538" s="5"/>
      <c r="AG2538" s="5" t="s">
        <v>10840</v>
      </c>
      <c r="AH2538" s="5" t="s">
        <v>11103</v>
      </c>
    </row>
    <row r="2539" spans="2:35" ht="21" customHeight="1" outlineLevel="4" x14ac:dyDescent="0.2">
      <c r="B2539" s="42">
        <v>2018</v>
      </c>
      <c r="C2539" s="5" t="s">
        <v>11249</v>
      </c>
      <c r="D2539" s="5" t="s">
        <v>11250</v>
      </c>
      <c r="E2539" s="6" t="s">
        <v>11251</v>
      </c>
      <c r="F2539" s="10"/>
      <c r="G2539" s="11" t="s">
        <v>11101</v>
      </c>
      <c r="H2539" s="12">
        <v>48</v>
      </c>
      <c r="I2539" s="13" t="s">
        <v>261</v>
      </c>
      <c r="J2539" s="13"/>
      <c r="K2539" s="13"/>
      <c r="L2539" s="4">
        <v>8</v>
      </c>
      <c r="M2539" s="14">
        <f>87*(1-P3/100)</f>
        <v>87</v>
      </c>
      <c r="N2539" s="15"/>
      <c r="O2539" s="13">
        <f t="shared" si="112"/>
        <v>0</v>
      </c>
      <c r="P2539" s="32">
        <f>0.07*N2539</f>
        <v>0</v>
      </c>
      <c r="Q2539" s="23">
        <f>0.00011*N2539</f>
        <v>0</v>
      </c>
      <c r="R2539" s="24"/>
      <c r="S2539" s="25" t="s">
        <v>11252</v>
      </c>
      <c r="T2539" s="25" t="s">
        <v>43</v>
      </c>
      <c r="U2539" s="5" t="s">
        <v>11253</v>
      </c>
      <c r="V2539" s="5"/>
      <c r="W2539" s="5" t="s">
        <v>46</v>
      </c>
      <c r="X2539" s="5" t="s">
        <v>9262</v>
      </c>
      <c r="Y2539" s="5"/>
      <c r="Z2539" s="5" t="str">
        <f>HYPERLINK("https://knigipp.ru/api/getInfo/image/83cca680-c686-11e1-81d3-5ef3fc502493")</f>
        <v>https://knigipp.ru/api/getInfo/image/83cca680-c686-11e1-81d3-5ef3fc502493</v>
      </c>
      <c r="AA2539" s="33">
        <v>10</v>
      </c>
      <c r="AB2539" s="5"/>
      <c r="AC2539" s="5" t="s">
        <v>140</v>
      </c>
      <c r="AD2539" s="5"/>
      <c r="AE2539" s="5" t="s">
        <v>49</v>
      </c>
      <c r="AF2539" s="5"/>
      <c r="AG2539" s="5" t="s">
        <v>10840</v>
      </c>
      <c r="AH2539" s="5" t="s">
        <v>11103</v>
      </c>
    </row>
    <row r="2540" spans="2:35" ht="21" customHeight="1" outlineLevel="4" x14ac:dyDescent="0.2">
      <c r="B2540" s="43">
        <v>2019</v>
      </c>
      <c r="C2540" s="8" t="s">
        <v>11254</v>
      </c>
      <c r="D2540" s="8" t="s">
        <v>11255</v>
      </c>
      <c r="E2540" s="9" t="s">
        <v>11256</v>
      </c>
      <c r="F2540" s="16"/>
      <c r="G2540" s="17"/>
      <c r="H2540" s="18">
        <v>48</v>
      </c>
      <c r="I2540" s="19" t="s">
        <v>41</v>
      </c>
      <c r="J2540" s="19"/>
      <c r="K2540" s="19"/>
      <c r="L2540" s="7">
        <v>8</v>
      </c>
      <c r="M2540" s="21">
        <f>87*(1-P3/100)</f>
        <v>87</v>
      </c>
      <c r="N2540" s="15"/>
      <c r="O2540" s="19">
        <f t="shared" si="112"/>
        <v>0</v>
      </c>
      <c r="P2540" s="26">
        <f>0.055*N2540</f>
        <v>0</v>
      </c>
      <c r="Q2540" s="27">
        <f>0.00009*N2540</f>
        <v>0</v>
      </c>
      <c r="R2540" s="28" t="s">
        <v>81</v>
      </c>
      <c r="S2540" s="29" t="s">
        <v>11257</v>
      </c>
      <c r="T2540" s="29" t="s">
        <v>43</v>
      </c>
      <c r="U2540" s="8" t="s">
        <v>11253</v>
      </c>
      <c r="V2540" s="8" t="s">
        <v>11258</v>
      </c>
      <c r="W2540" s="8" t="s">
        <v>46</v>
      </c>
      <c r="X2540" s="8"/>
      <c r="Y2540" s="8"/>
      <c r="Z2540" s="8" t="str">
        <f>HYPERLINK("https://knigipp.ru/api/getInfo/image/3ba4e8cf-b65e-11f0-a286-00155d82e908")</f>
        <v>https://knigipp.ru/api/getInfo/image/3ba4e8cf-b65e-11f0-a286-00155d82e908</v>
      </c>
      <c r="AA2540" s="34">
        <v>10</v>
      </c>
      <c r="AB2540" s="8" t="s">
        <v>47</v>
      </c>
      <c r="AC2540" s="8" t="s">
        <v>140</v>
      </c>
      <c r="AD2540" s="8"/>
      <c r="AE2540" s="8" t="s">
        <v>49</v>
      </c>
      <c r="AF2540" s="8"/>
      <c r="AG2540" s="8"/>
      <c r="AH2540" s="8" t="s">
        <v>11103</v>
      </c>
      <c r="AI2540" s="55"/>
    </row>
    <row r="2541" spans="2:35" ht="21" customHeight="1" outlineLevel="4" x14ac:dyDescent="0.2">
      <c r="B2541" s="42">
        <v>2020</v>
      </c>
      <c r="C2541" s="5" t="s">
        <v>11259</v>
      </c>
      <c r="D2541" s="5" t="s">
        <v>11260</v>
      </c>
      <c r="E2541" s="6" t="s">
        <v>11261</v>
      </c>
      <c r="F2541" s="10"/>
      <c r="G2541" s="11" t="s">
        <v>11101</v>
      </c>
      <c r="H2541" s="12">
        <v>48</v>
      </c>
      <c r="I2541" s="13" t="s">
        <v>371</v>
      </c>
      <c r="J2541" s="13"/>
      <c r="K2541" s="13"/>
      <c r="L2541" s="4">
        <v>8</v>
      </c>
      <c r="M2541" s="14">
        <f>87*(1-P3/100)</f>
        <v>87</v>
      </c>
      <c r="N2541" s="15"/>
      <c r="O2541" s="13">
        <f t="shared" si="112"/>
        <v>0</v>
      </c>
      <c r="P2541" s="32">
        <f>0.07*N2541</f>
        <v>0</v>
      </c>
      <c r="Q2541" s="23">
        <f>0.00011*N2541</f>
        <v>0</v>
      </c>
      <c r="R2541" s="24"/>
      <c r="S2541" s="25" t="s">
        <v>11262</v>
      </c>
      <c r="T2541" s="25" t="s">
        <v>43</v>
      </c>
      <c r="U2541" s="5"/>
      <c r="V2541" s="5" t="s">
        <v>11263</v>
      </c>
      <c r="W2541" s="5" t="s">
        <v>46</v>
      </c>
      <c r="X2541" s="5" t="s">
        <v>9262</v>
      </c>
      <c r="Y2541" s="5"/>
      <c r="Z2541" s="5" t="str">
        <f>HYPERLINK("https://knigipp.ru/api/getInfo/image/83cca686-c686-11e1-81d3-5ef3fc502493")</f>
        <v>https://knigipp.ru/api/getInfo/image/83cca686-c686-11e1-81d3-5ef3fc502493</v>
      </c>
      <c r="AA2541" s="33">
        <v>10</v>
      </c>
      <c r="AB2541" s="5"/>
      <c r="AC2541" s="5" t="s">
        <v>140</v>
      </c>
      <c r="AD2541" s="5"/>
      <c r="AE2541" s="5" t="s">
        <v>49</v>
      </c>
      <c r="AF2541" s="5"/>
      <c r="AG2541" s="5" t="s">
        <v>10840</v>
      </c>
      <c r="AH2541" s="5" t="s">
        <v>11103</v>
      </c>
    </row>
    <row r="2542" spans="2:35" ht="21" customHeight="1" outlineLevel="4" x14ac:dyDescent="0.2">
      <c r="B2542" s="42">
        <v>2021</v>
      </c>
      <c r="C2542" s="5" t="s">
        <v>11264</v>
      </c>
      <c r="D2542" s="5" t="s">
        <v>11265</v>
      </c>
      <c r="E2542" s="6" t="s">
        <v>11266</v>
      </c>
      <c r="F2542" s="10"/>
      <c r="G2542" s="11" t="s">
        <v>11101</v>
      </c>
      <c r="H2542" s="12">
        <v>48</v>
      </c>
      <c r="I2542" s="13" t="s">
        <v>41</v>
      </c>
      <c r="J2542" s="13"/>
      <c r="K2542" s="13"/>
      <c r="L2542" s="4">
        <v>8</v>
      </c>
      <c r="M2542" s="14">
        <f>87*(1-P3/100)</f>
        <v>87</v>
      </c>
      <c r="N2542" s="15"/>
      <c r="O2542" s="13">
        <f t="shared" si="112"/>
        <v>0</v>
      </c>
      <c r="P2542" s="22">
        <f>0.058*N2542</f>
        <v>0</v>
      </c>
      <c r="Q2542" s="23">
        <f>0.00021*N2542</f>
        <v>0</v>
      </c>
      <c r="R2542" s="24"/>
      <c r="S2542" s="25" t="s">
        <v>11267</v>
      </c>
      <c r="T2542" s="25" t="s">
        <v>43</v>
      </c>
      <c r="U2542" s="5"/>
      <c r="V2542" s="5"/>
      <c r="W2542" s="5" t="s">
        <v>46</v>
      </c>
      <c r="X2542" s="5" t="s">
        <v>9262</v>
      </c>
      <c r="Y2542" s="5"/>
      <c r="Z2542" s="5" t="str">
        <f>HYPERLINK("https://knigipp.ru/api/getInfo/image/83cca687-c686-11e1-81d3-5ef3fc502493")</f>
        <v>https://knigipp.ru/api/getInfo/image/83cca687-c686-11e1-81d3-5ef3fc502493</v>
      </c>
      <c r="AA2542" s="33">
        <v>10</v>
      </c>
      <c r="AB2542" s="5"/>
      <c r="AC2542" s="5" t="s">
        <v>140</v>
      </c>
      <c r="AD2542" s="5"/>
      <c r="AE2542" s="5" t="s">
        <v>49</v>
      </c>
      <c r="AF2542" s="5"/>
      <c r="AG2542" s="5" t="s">
        <v>10840</v>
      </c>
      <c r="AH2542" s="5" t="s">
        <v>11103</v>
      </c>
    </row>
    <row r="2543" spans="2:35" ht="21" customHeight="1" outlineLevel="4" x14ac:dyDescent="0.2">
      <c r="B2543" s="42">
        <v>2022</v>
      </c>
      <c r="C2543" s="5" t="s">
        <v>11268</v>
      </c>
      <c r="D2543" s="5" t="s">
        <v>11269</v>
      </c>
      <c r="E2543" s="6" t="s">
        <v>11270</v>
      </c>
      <c r="F2543" s="10"/>
      <c r="G2543" s="11" t="s">
        <v>11101</v>
      </c>
      <c r="H2543" s="12">
        <v>48</v>
      </c>
      <c r="I2543" s="13" t="s">
        <v>41</v>
      </c>
      <c r="J2543" s="13"/>
      <c r="K2543" s="13"/>
      <c r="L2543" s="4">
        <v>8</v>
      </c>
      <c r="M2543" s="14">
        <f>87*(1-P3/100)</f>
        <v>87</v>
      </c>
      <c r="N2543" s="15"/>
      <c r="O2543" s="13">
        <f t="shared" si="112"/>
        <v>0</v>
      </c>
      <c r="P2543" s="22">
        <f>0.055*N2543</f>
        <v>0</v>
      </c>
      <c r="Q2543" s="23">
        <f>0.00015*N2543</f>
        <v>0</v>
      </c>
      <c r="R2543" s="24"/>
      <c r="S2543" s="25" t="s">
        <v>11271</v>
      </c>
      <c r="T2543" s="25" t="s">
        <v>43</v>
      </c>
      <c r="U2543" s="5"/>
      <c r="V2543" s="5"/>
      <c r="W2543" s="5" t="s">
        <v>46</v>
      </c>
      <c r="X2543" s="5" t="s">
        <v>253</v>
      </c>
      <c r="Y2543" s="5"/>
      <c r="Z2543" s="5" t="str">
        <f>HYPERLINK("https://knigipp.ru/api/getInfo/image/83cca68a-c686-11e1-81d3-5ef3fc502493")</f>
        <v>https://knigipp.ru/api/getInfo/image/83cca68a-c686-11e1-81d3-5ef3fc502493</v>
      </c>
      <c r="AA2543" s="33">
        <v>10</v>
      </c>
      <c r="AB2543" s="5"/>
      <c r="AC2543" s="5" t="s">
        <v>140</v>
      </c>
      <c r="AD2543" s="5"/>
      <c r="AE2543" s="5" t="s">
        <v>49</v>
      </c>
      <c r="AF2543" s="5"/>
      <c r="AG2543" s="5" t="s">
        <v>10840</v>
      </c>
      <c r="AH2543" s="5" t="s">
        <v>11103</v>
      </c>
    </row>
    <row r="2544" spans="2:35" ht="21" customHeight="1" outlineLevel="4" x14ac:dyDescent="0.2">
      <c r="B2544" s="42">
        <v>2023</v>
      </c>
      <c r="C2544" s="5" t="s">
        <v>11272</v>
      </c>
      <c r="D2544" s="5" t="s">
        <v>11273</v>
      </c>
      <c r="E2544" s="6" t="s">
        <v>11274</v>
      </c>
      <c r="F2544" s="10"/>
      <c r="G2544" s="11" t="s">
        <v>11101</v>
      </c>
      <c r="H2544" s="12">
        <v>48</v>
      </c>
      <c r="I2544" s="13" t="s">
        <v>41</v>
      </c>
      <c r="J2544" s="13"/>
      <c r="K2544" s="13"/>
      <c r="L2544" s="4">
        <v>8</v>
      </c>
      <c r="M2544" s="14">
        <f>87*(1-P3/100)</f>
        <v>87</v>
      </c>
      <c r="N2544" s="15"/>
      <c r="O2544" s="13">
        <f t="shared" si="112"/>
        <v>0</v>
      </c>
      <c r="P2544" s="22">
        <f>0.056*N2544</f>
        <v>0</v>
      </c>
      <c r="Q2544" s="23">
        <f>0.00017*N2544</f>
        <v>0</v>
      </c>
      <c r="R2544" s="24"/>
      <c r="S2544" s="25" t="s">
        <v>11275</v>
      </c>
      <c r="T2544" s="25" t="s">
        <v>43</v>
      </c>
      <c r="U2544" s="5"/>
      <c r="V2544" s="5"/>
      <c r="W2544" s="5" t="s">
        <v>46</v>
      </c>
      <c r="X2544" s="5" t="s">
        <v>3900</v>
      </c>
      <c r="Y2544" s="5"/>
      <c r="Z2544" s="5" t="str">
        <f>HYPERLINK("https://knigipp.ru/api/getInfo/image/83cca68d-c686-11e1-81d3-5ef3fc502493")</f>
        <v>https://knigipp.ru/api/getInfo/image/83cca68d-c686-11e1-81d3-5ef3fc502493</v>
      </c>
      <c r="AA2544" s="33">
        <v>10</v>
      </c>
      <c r="AB2544" s="5"/>
      <c r="AC2544" s="5" t="s">
        <v>140</v>
      </c>
      <c r="AD2544" s="5"/>
      <c r="AE2544" s="5" t="s">
        <v>49</v>
      </c>
      <c r="AF2544" s="5"/>
      <c r="AG2544" s="5" t="s">
        <v>10840</v>
      </c>
      <c r="AH2544" s="5" t="s">
        <v>11103</v>
      </c>
    </row>
    <row r="2545" spans="2:35" ht="21" customHeight="1" outlineLevel="4" x14ac:dyDescent="0.2">
      <c r="B2545" s="43">
        <v>2024</v>
      </c>
      <c r="C2545" s="8" t="s">
        <v>11276</v>
      </c>
      <c r="D2545" s="8" t="s">
        <v>11277</v>
      </c>
      <c r="E2545" s="9" t="s">
        <v>11278</v>
      </c>
      <c r="F2545" s="16"/>
      <c r="G2545" s="17"/>
      <c r="H2545" s="18">
        <v>48</v>
      </c>
      <c r="I2545" s="19" t="s">
        <v>41</v>
      </c>
      <c r="J2545" s="19"/>
      <c r="K2545" s="19"/>
      <c r="L2545" s="7">
        <v>8</v>
      </c>
      <c r="M2545" s="21">
        <f>87*(1-P3/100)</f>
        <v>87</v>
      </c>
      <c r="N2545" s="15"/>
      <c r="O2545" s="19">
        <f t="shared" si="112"/>
        <v>0</v>
      </c>
      <c r="P2545" s="26">
        <f>0.053*N2545</f>
        <v>0</v>
      </c>
      <c r="Q2545" s="27">
        <f>0.00011*N2545</f>
        <v>0</v>
      </c>
      <c r="R2545" s="28" t="s">
        <v>81</v>
      </c>
      <c r="S2545" s="29" t="s">
        <v>11279</v>
      </c>
      <c r="T2545" s="29" t="s">
        <v>43</v>
      </c>
      <c r="U2545" s="8"/>
      <c r="V2545" s="8" t="s">
        <v>11280</v>
      </c>
      <c r="W2545" s="8" t="s">
        <v>46</v>
      </c>
      <c r="X2545" s="8"/>
      <c r="Y2545" s="8"/>
      <c r="Z2545" s="8" t="str">
        <f>HYPERLINK("https://knigipp.ru/api/getInfo/image/c05245fb-b65d-11f0-a286-00155d82e908")</f>
        <v>https://knigipp.ru/api/getInfo/image/c05245fb-b65d-11f0-a286-00155d82e908</v>
      </c>
      <c r="AA2545" s="34">
        <v>10</v>
      </c>
      <c r="AB2545" s="8" t="s">
        <v>47</v>
      </c>
      <c r="AC2545" s="8" t="s">
        <v>140</v>
      </c>
      <c r="AD2545" s="8"/>
      <c r="AE2545" s="8" t="s">
        <v>49</v>
      </c>
      <c r="AF2545" s="8"/>
      <c r="AG2545" s="8"/>
      <c r="AH2545" s="8" t="s">
        <v>11103</v>
      </c>
      <c r="AI2545" s="55"/>
    </row>
    <row r="2546" spans="2:35" ht="22.95" customHeight="1" outlineLevel="3" x14ac:dyDescent="0.2">
      <c r="B2546" s="74" t="s">
        <v>11281</v>
      </c>
      <c r="C2546" s="74"/>
      <c r="D2546" s="74"/>
    </row>
    <row r="2547" spans="2:35" ht="21" customHeight="1" outlineLevel="4" x14ac:dyDescent="0.2">
      <c r="B2547" s="42">
        <v>2025</v>
      </c>
      <c r="C2547" s="5" t="s">
        <v>11282</v>
      </c>
      <c r="D2547" s="5" t="s">
        <v>11283</v>
      </c>
      <c r="E2547" s="6" t="s">
        <v>11284</v>
      </c>
      <c r="F2547" s="10"/>
      <c r="G2547" s="11" t="s">
        <v>11285</v>
      </c>
      <c r="H2547" s="12">
        <v>40</v>
      </c>
      <c r="I2547" s="13" t="s">
        <v>41</v>
      </c>
      <c r="J2547" s="13"/>
      <c r="K2547" s="13"/>
      <c r="L2547" s="4">
        <v>4</v>
      </c>
      <c r="M2547" s="14">
        <f>147*(1-P3/100)</f>
        <v>147</v>
      </c>
      <c r="N2547" s="15"/>
      <c r="O2547" s="13">
        <f>M2547*N2547</f>
        <v>0</v>
      </c>
      <c r="P2547" s="22">
        <f>0.108*N2547</f>
        <v>0</v>
      </c>
      <c r="Q2547" s="23">
        <f>0.00018*N2547</f>
        <v>0</v>
      </c>
      <c r="R2547" s="24"/>
      <c r="S2547" s="25" t="s">
        <v>11286</v>
      </c>
      <c r="T2547" s="25" t="s">
        <v>43</v>
      </c>
      <c r="U2547" s="5" t="s">
        <v>7952</v>
      </c>
      <c r="V2547" s="5" t="s">
        <v>11287</v>
      </c>
      <c r="W2547" s="5" t="s">
        <v>46</v>
      </c>
      <c r="X2547" s="5"/>
      <c r="Y2547" s="5"/>
      <c r="Z2547" s="5" t="str">
        <f>HYPERLINK("https://knigipp.ru/api/getInfo/image/33fb252d-edd8-11ee-a25b-00155d82e908")</f>
        <v>https://knigipp.ru/api/getInfo/image/33fb252d-edd8-11ee-a25b-00155d82e908</v>
      </c>
      <c r="AA2547" s="33">
        <v>10</v>
      </c>
      <c r="AB2547" s="5" t="s">
        <v>47</v>
      </c>
      <c r="AC2547" s="5" t="s">
        <v>140</v>
      </c>
      <c r="AD2547" s="5"/>
      <c r="AE2547" s="5" t="s">
        <v>49</v>
      </c>
      <c r="AF2547" s="5"/>
      <c r="AG2547" s="5"/>
      <c r="AH2547" s="5" t="s">
        <v>11288</v>
      </c>
    </row>
    <row r="2548" spans="2:35" ht="21" customHeight="1" outlineLevel="4" x14ac:dyDescent="0.2">
      <c r="B2548" s="42">
        <v>2026</v>
      </c>
      <c r="C2548" s="5" t="s">
        <v>11289</v>
      </c>
      <c r="D2548" s="5" t="s">
        <v>11290</v>
      </c>
      <c r="E2548" s="6" t="s">
        <v>11291</v>
      </c>
      <c r="F2548" s="10"/>
      <c r="G2548" s="11" t="s">
        <v>11285</v>
      </c>
      <c r="H2548" s="12">
        <v>40</v>
      </c>
      <c r="I2548" s="13" t="s">
        <v>41</v>
      </c>
      <c r="J2548" s="13"/>
      <c r="K2548" s="13"/>
      <c r="L2548" s="4">
        <v>4</v>
      </c>
      <c r="M2548" s="14">
        <f>147*(1-P3/100)</f>
        <v>147</v>
      </c>
      <c r="N2548" s="15"/>
      <c r="O2548" s="13">
        <f>M2548*N2548</f>
        <v>0</v>
      </c>
      <c r="P2548" s="22">
        <f>0.111*N2548</f>
        <v>0</v>
      </c>
      <c r="Q2548" s="23">
        <f>0.00015*N2548</f>
        <v>0</v>
      </c>
      <c r="R2548" s="24"/>
      <c r="S2548" s="25" t="s">
        <v>11292</v>
      </c>
      <c r="T2548" s="25" t="s">
        <v>43</v>
      </c>
      <c r="U2548" s="5" t="s">
        <v>7952</v>
      </c>
      <c r="V2548" s="5" t="s">
        <v>11293</v>
      </c>
      <c r="W2548" s="5" t="s">
        <v>46</v>
      </c>
      <c r="X2548" s="5"/>
      <c r="Y2548" s="5"/>
      <c r="Z2548" s="5" t="str">
        <f>HYPERLINK("https://knigipp.ru/api/getInfo/image/7aaff6f9-edd8-11ee-a25b-00155d82e908")</f>
        <v>https://knigipp.ru/api/getInfo/image/7aaff6f9-edd8-11ee-a25b-00155d82e908</v>
      </c>
      <c r="AA2548" s="33">
        <v>10</v>
      </c>
      <c r="AB2548" s="5" t="s">
        <v>47</v>
      </c>
      <c r="AC2548" s="5" t="s">
        <v>140</v>
      </c>
      <c r="AD2548" s="5"/>
      <c r="AE2548" s="5" t="s">
        <v>49</v>
      </c>
      <c r="AF2548" s="5"/>
      <c r="AG2548" s="5"/>
      <c r="AH2548" s="5" t="s">
        <v>11288</v>
      </c>
    </row>
    <row r="2549" spans="2:35" ht="21" customHeight="1" outlineLevel="4" x14ac:dyDescent="0.2">
      <c r="B2549" s="42">
        <v>2027</v>
      </c>
      <c r="C2549" s="5" t="s">
        <v>11294</v>
      </c>
      <c r="D2549" s="5" t="s">
        <v>11295</v>
      </c>
      <c r="E2549" s="6" t="s">
        <v>11296</v>
      </c>
      <c r="F2549" s="10"/>
      <c r="G2549" s="11" t="s">
        <v>11285</v>
      </c>
      <c r="H2549" s="12">
        <v>40</v>
      </c>
      <c r="I2549" s="13" t="s">
        <v>41</v>
      </c>
      <c r="J2549" s="13"/>
      <c r="K2549" s="13"/>
      <c r="L2549" s="4">
        <v>4</v>
      </c>
      <c r="M2549" s="14">
        <f>147*(1-P3/100)</f>
        <v>147</v>
      </c>
      <c r="N2549" s="15"/>
      <c r="O2549" s="13">
        <f>M2549*N2549</f>
        <v>0</v>
      </c>
      <c r="P2549" s="22">
        <f>0.109*N2549</f>
        <v>0</v>
      </c>
      <c r="Q2549" s="23">
        <f>0.00018*N2549</f>
        <v>0</v>
      </c>
      <c r="R2549" s="24"/>
      <c r="S2549" s="25" t="s">
        <v>11297</v>
      </c>
      <c r="T2549" s="25" t="s">
        <v>43</v>
      </c>
      <c r="U2549" s="5" t="s">
        <v>7952</v>
      </c>
      <c r="V2549" s="5" t="s">
        <v>11298</v>
      </c>
      <c r="W2549" s="5" t="s">
        <v>46</v>
      </c>
      <c r="X2549" s="5"/>
      <c r="Y2549" s="5"/>
      <c r="Z2549" s="5" t="str">
        <f>HYPERLINK("https://knigipp.ru/api/getInfo/image/9c704f1d-edd8-11ee-a25b-00155d82e908")</f>
        <v>https://knigipp.ru/api/getInfo/image/9c704f1d-edd8-11ee-a25b-00155d82e908</v>
      </c>
      <c r="AA2549" s="33">
        <v>10</v>
      </c>
      <c r="AB2549" s="5" t="s">
        <v>47</v>
      </c>
      <c r="AC2549" s="5" t="s">
        <v>140</v>
      </c>
      <c r="AD2549" s="5"/>
      <c r="AE2549" s="5" t="s">
        <v>49</v>
      </c>
      <c r="AF2549" s="5"/>
      <c r="AG2549" s="5"/>
      <c r="AH2549" s="5" t="s">
        <v>11288</v>
      </c>
    </row>
    <row r="2550" spans="2:35" ht="21" customHeight="1" outlineLevel="4" x14ac:dyDescent="0.2">
      <c r="B2550" s="42">
        <v>2028</v>
      </c>
      <c r="C2550" s="5" t="s">
        <v>11299</v>
      </c>
      <c r="D2550" s="5" t="s">
        <v>11300</v>
      </c>
      <c r="E2550" s="6" t="s">
        <v>11301</v>
      </c>
      <c r="F2550" s="10"/>
      <c r="G2550" s="11" t="s">
        <v>11285</v>
      </c>
      <c r="H2550" s="12">
        <v>40</v>
      </c>
      <c r="I2550" s="13" t="s">
        <v>41</v>
      </c>
      <c r="J2550" s="13"/>
      <c r="K2550" s="13"/>
      <c r="L2550" s="4">
        <v>4</v>
      </c>
      <c r="M2550" s="14">
        <f>147*(1-P3/100)</f>
        <v>147</v>
      </c>
      <c r="N2550" s="15"/>
      <c r="O2550" s="13">
        <f>M2550*N2550</f>
        <v>0</v>
      </c>
      <c r="P2550" s="22">
        <f>0.109*N2550</f>
        <v>0</v>
      </c>
      <c r="Q2550" s="23">
        <f>0.00022*N2550</f>
        <v>0</v>
      </c>
      <c r="R2550" s="24"/>
      <c r="S2550" s="25" t="s">
        <v>11302</v>
      </c>
      <c r="T2550" s="25" t="s">
        <v>43</v>
      </c>
      <c r="U2550" s="5" t="s">
        <v>7952</v>
      </c>
      <c r="V2550" s="5" t="s">
        <v>11303</v>
      </c>
      <c r="W2550" s="5" t="s">
        <v>46</v>
      </c>
      <c r="X2550" s="5"/>
      <c r="Y2550" s="5"/>
      <c r="Z2550" s="5" t="str">
        <f>HYPERLINK("https://knigipp.ru/api/getInfo/image/bea7dd3c-edd8-11ee-a25b-00155d82e908")</f>
        <v>https://knigipp.ru/api/getInfo/image/bea7dd3c-edd8-11ee-a25b-00155d82e908</v>
      </c>
      <c r="AA2550" s="33">
        <v>10</v>
      </c>
      <c r="AB2550" s="5" t="s">
        <v>47</v>
      </c>
      <c r="AC2550" s="5" t="s">
        <v>140</v>
      </c>
      <c r="AD2550" s="5"/>
      <c r="AE2550" s="5" t="s">
        <v>49</v>
      </c>
      <c r="AF2550" s="5"/>
      <c r="AG2550" s="5"/>
      <c r="AH2550" s="5" t="s">
        <v>11288</v>
      </c>
    </row>
    <row r="2551" spans="2:35" ht="22.95" customHeight="1" outlineLevel="2" x14ac:dyDescent="0.2">
      <c r="B2551" s="73" t="s">
        <v>11304</v>
      </c>
      <c r="C2551" s="73"/>
      <c r="D2551" s="73"/>
    </row>
    <row r="2552" spans="2:35" ht="22.95" customHeight="1" outlineLevel="3" x14ac:dyDescent="0.2">
      <c r="B2552" s="74" t="s">
        <v>11305</v>
      </c>
      <c r="C2552" s="74"/>
      <c r="D2552" s="74"/>
    </row>
    <row r="2553" spans="2:35" ht="21" customHeight="1" outlineLevel="4" x14ac:dyDescent="0.2">
      <c r="B2553" s="43">
        <v>2029</v>
      </c>
      <c r="C2553" s="8" t="s">
        <v>11306</v>
      </c>
      <c r="D2553" s="8" t="s">
        <v>11307</v>
      </c>
      <c r="E2553" s="9" t="s">
        <v>11308</v>
      </c>
      <c r="F2553" s="16"/>
      <c r="G2553" s="17" t="s">
        <v>11309</v>
      </c>
      <c r="H2553" s="18">
        <v>20</v>
      </c>
      <c r="I2553" s="19" t="s">
        <v>41</v>
      </c>
      <c r="J2553" s="19"/>
      <c r="K2553" s="19"/>
      <c r="L2553" s="7">
        <v>3</v>
      </c>
      <c r="M2553" s="21">
        <f>277*(1-P3/100)</f>
        <v>277</v>
      </c>
      <c r="N2553" s="15"/>
      <c r="O2553" s="19">
        <f>M2553*N2553</f>
        <v>0</v>
      </c>
      <c r="P2553" s="26">
        <f>0.085*N2553</f>
        <v>0</v>
      </c>
      <c r="Q2553" s="31">
        <f>0.0002*N2553</f>
        <v>0</v>
      </c>
      <c r="R2553" s="28" t="s">
        <v>81</v>
      </c>
      <c r="S2553" s="29" t="s">
        <v>11310</v>
      </c>
      <c r="T2553" s="29" t="s">
        <v>43</v>
      </c>
      <c r="U2553" s="8" t="s">
        <v>11311</v>
      </c>
      <c r="V2553" s="8"/>
      <c r="W2553" s="8" t="s">
        <v>46</v>
      </c>
      <c r="X2553" s="8"/>
      <c r="Y2553" s="8"/>
      <c r="Z2553" s="8" t="str">
        <f>HYPERLINK("https://knigipp.ru/api/getInfo/image/d0ac611b-9e08-11f0-a285-00155d82e908")</f>
        <v>https://knigipp.ru/api/getInfo/image/d0ac611b-9e08-11f0-a285-00155d82e908</v>
      </c>
      <c r="AA2553" s="34">
        <v>12</v>
      </c>
      <c r="AB2553" s="8" t="s">
        <v>47</v>
      </c>
      <c r="AC2553" s="8" t="s">
        <v>219</v>
      </c>
      <c r="AD2553" s="8"/>
      <c r="AE2553" s="8" t="s">
        <v>49</v>
      </c>
      <c r="AF2553" s="8"/>
      <c r="AG2553" s="8"/>
      <c r="AH2553" s="8" t="s">
        <v>11312</v>
      </c>
      <c r="AI2553" s="55"/>
    </row>
    <row r="2554" spans="2:35" ht="21" customHeight="1" outlineLevel="4" x14ac:dyDescent="0.2">
      <c r="B2554" s="43">
        <v>2030</v>
      </c>
      <c r="C2554" s="8" t="s">
        <v>11313</v>
      </c>
      <c r="D2554" s="8" t="s">
        <v>11314</v>
      </c>
      <c r="E2554" s="9" t="s">
        <v>11315</v>
      </c>
      <c r="F2554" s="16"/>
      <c r="G2554" s="17" t="s">
        <v>11309</v>
      </c>
      <c r="H2554" s="18">
        <v>20</v>
      </c>
      <c r="I2554" s="19" t="s">
        <v>41</v>
      </c>
      <c r="J2554" s="19"/>
      <c r="K2554" s="19"/>
      <c r="L2554" s="7">
        <v>3</v>
      </c>
      <c r="M2554" s="21">
        <f>277*(1-P3/100)</f>
        <v>277</v>
      </c>
      <c r="N2554" s="15"/>
      <c r="O2554" s="19">
        <f>M2554*N2554</f>
        <v>0</v>
      </c>
      <c r="P2554" s="26">
        <f>0.089*N2554</f>
        <v>0</v>
      </c>
      <c r="Q2554" s="31">
        <f>0.0002*N2554</f>
        <v>0</v>
      </c>
      <c r="R2554" s="28" t="s">
        <v>81</v>
      </c>
      <c r="S2554" s="29" t="s">
        <v>11316</v>
      </c>
      <c r="T2554" s="29" t="s">
        <v>43</v>
      </c>
      <c r="U2554" s="8" t="s">
        <v>11311</v>
      </c>
      <c r="V2554" s="8"/>
      <c r="W2554" s="8" t="s">
        <v>46</v>
      </c>
      <c r="X2554" s="8"/>
      <c r="Y2554" s="8"/>
      <c r="Z2554" s="8" t="str">
        <f>HYPERLINK("https://knigipp.ru/api/getInfo/image/d86e2a6f-9e0c-11f0-a285-00155d82e908")</f>
        <v>https://knigipp.ru/api/getInfo/image/d86e2a6f-9e0c-11f0-a285-00155d82e908</v>
      </c>
      <c r="AA2554" s="34">
        <v>12</v>
      </c>
      <c r="AB2554" s="8" t="s">
        <v>47</v>
      </c>
      <c r="AC2554" s="8" t="s">
        <v>219</v>
      </c>
      <c r="AD2554" s="8"/>
      <c r="AE2554" s="8" t="s">
        <v>49</v>
      </c>
      <c r="AF2554" s="8"/>
      <c r="AG2554" s="8"/>
      <c r="AH2554" s="8" t="s">
        <v>11312</v>
      </c>
      <c r="AI2554" s="55"/>
    </row>
    <row r="2555" spans="2:35" ht="21" customHeight="1" outlineLevel="4" x14ac:dyDescent="0.2">
      <c r="B2555" s="43">
        <v>2031</v>
      </c>
      <c r="C2555" s="8" t="s">
        <v>11317</v>
      </c>
      <c r="D2555" s="8" t="s">
        <v>11318</v>
      </c>
      <c r="E2555" s="9" t="s">
        <v>11319</v>
      </c>
      <c r="F2555" s="16"/>
      <c r="G2555" s="17" t="s">
        <v>11309</v>
      </c>
      <c r="H2555" s="18">
        <v>20</v>
      </c>
      <c r="I2555" s="19" t="s">
        <v>41</v>
      </c>
      <c r="J2555" s="19"/>
      <c r="K2555" s="19"/>
      <c r="L2555" s="7">
        <v>3</v>
      </c>
      <c r="M2555" s="21">
        <f>277*(1-P3/100)</f>
        <v>277</v>
      </c>
      <c r="N2555" s="15"/>
      <c r="O2555" s="19">
        <f>M2555*N2555</f>
        <v>0</v>
      </c>
      <c r="P2555" s="26">
        <f>0.089*N2555</f>
        <v>0</v>
      </c>
      <c r="Q2555" s="31">
        <f>0.0002*N2555</f>
        <v>0</v>
      </c>
      <c r="R2555" s="28" t="s">
        <v>81</v>
      </c>
      <c r="S2555" s="29" t="s">
        <v>11320</v>
      </c>
      <c r="T2555" s="29" t="s">
        <v>43</v>
      </c>
      <c r="U2555" s="8"/>
      <c r="V2555" s="8"/>
      <c r="W2555" s="8" t="s">
        <v>46</v>
      </c>
      <c r="X2555" s="8"/>
      <c r="Y2555" s="8"/>
      <c r="Z2555" s="8" t="str">
        <f>HYPERLINK("https://knigipp.ru/api/getInfo/image/35da427a-9e0d-11f0-a285-00155d82e908")</f>
        <v>https://knigipp.ru/api/getInfo/image/35da427a-9e0d-11f0-a285-00155d82e908</v>
      </c>
      <c r="AA2555" s="34">
        <v>12</v>
      </c>
      <c r="AB2555" s="8" t="s">
        <v>47</v>
      </c>
      <c r="AC2555" s="8" t="s">
        <v>219</v>
      </c>
      <c r="AD2555" s="8"/>
      <c r="AE2555" s="8" t="s">
        <v>49</v>
      </c>
      <c r="AF2555" s="8"/>
      <c r="AG2555" s="8"/>
      <c r="AH2555" s="8" t="s">
        <v>11312</v>
      </c>
      <c r="AI2555" s="55"/>
    </row>
    <row r="2556" spans="2:35" ht="21" customHeight="1" outlineLevel="4" x14ac:dyDescent="0.2">
      <c r="B2556" s="43">
        <v>2032</v>
      </c>
      <c r="C2556" s="8" t="s">
        <v>11321</v>
      </c>
      <c r="D2556" s="8" t="s">
        <v>11322</v>
      </c>
      <c r="E2556" s="9" t="s">
        <v>11323</v>
      </c>
      <c r="F2556" s="16"/>
      <c r="G2556" s="17" t="s">
        <v>11309</v>
      </c>
      <c r="H2556" s="18">
        <v>20</v>
      </c>
      <c r="I2556" s="19" t="s">
        <v>41</v>
      </c>
      <c r="J2556" s="19"/>
      <c r="K2556" s="19"/>
      <c r="L2556" s="7">
        <v>3</v>
      </c>
      <c r="M2556" s="21">
        <f>277*(1-P3/100)</f>
        <v>277</v>
      </c>
      <c r="N2556" s="15"/>
      <c r="O2556" s="19">
        <f>M2556*N2556</f>
        <v>0</v>
      </c>
      <c r="P2556" s="26">
        <f>0.089*N2556</f>
        <v>0</v>
      </c>
      <c r="Q2556" s="31">
        <f>0.0002*N2556</f>
        <v>0</v>
      </c>
      <c r="R2556" s="28" t="s">
        <v>81</v>
      </c>
      <c r="S2556" s="29" t="s">
        <v>11324</v>
      </c>
      <c r="T2556" s="29" t="s">
        <v>43</v>
      </c>
      <c r="U2556" s="8" t="s">
        <v>11325</v>
      </c>
      <c r="V2556" s="8"/>
      <c r="W2556" s="8" t="s">
        <v>46</v>
      </c>
      <c r="X2556" s="8"/>
      <c r="Y2556" s="8"/>
      <c r="Z2556" s="8" t="str">
        <f>HYPERLINK("https://knigipp.ru/api/getInfo/image/fe60471f-9e0c-11f0-a285-00155d82e908")</f>
        <v>https://knigipp.ru/api/getInfo/image/fe60471f-9e0c-11f0-a285-00155d82e908</v>
      </c>
      <c r="AA2556" s="34">
        <v>12</v>
      </c>
      <c r="AB2556" s="8" t="s">
        <v>47</v>
      </c>
      <c r="AC2556" s="8" t="s">
        <v>219</v>
      </c>
      <c r="AD2556" s="8"/>
      <c r="AE2556" s="8" t="s">
        <v>49</v>
      </c>
      <c r="AF2556" s="8"/>
      <c r="AG2556" s="8"/>
      <c r="AH2556" s="8" t="s">
        <v>11312</v>
      </c>
      <c r="AI2556" s="55"/>
    </row>
    <row r="2557" spans="2:35" ht="22.95" customHeight="1" outlineLevel="3" x14ac:dyDescent="0.2">
      <c r="B2557" s="74" t="s">
        <v>11326</v>
      </c>
      <c r="C2557" s="74"/>
      <c r="D2557" s="74"/>
    </row>
    <row r="2558" spans="2:35" ht="21" customHeight="1" outlineLevel="4" x14ac:dyDescent="0.2">
      <c r="B2558" s="42">
        <v>2033</v>
      </c>
      <c r="C2558" s="5" t="s">
        <v>11327</v>
      </c>
      <c r="D2558" s="5" t="s">
        <v>11328</v>
      </c>
      <c r="E2558" s="6" t="s">
        <v>11329</v>
      </c>
      <c r="F2558" s="10"/>
      <c r="G2558" s="11" t="s">
        <v>11330</v>
      </c>
      <c r="H2558" s="12">
        <v>40</v>
      </c>
      <c r="I2558" s="13" t="s">
        <v>41</v>
      </c>
      <c r="J2558" s="13"/>
      <c r="K2558" s="13"/>
      <c r="L2558" s="4">
        <v>5</v>
      </c>
      <c r="M2558" s="14">
        <f>127*(1-P3/100)</f>
        <v>127</v>
      </c>
      <c r="N2558" s="15"/>
      <c r="O2558" s="13">
        <f t="shared" ref="O2558:O2621" si="113">M2558*N2558</f>
        <v>0</v>
      </c>
      <c r="P2558" s="22">
        <f>0.144*N2558</f>
        <v>0</v>
      </c>
      <c r="Q2558" s="23">
        <f>0.00021*N2558</f>
        <v>0</v>
      </c>
      <c r="R2558" s="24"/>
      <c r="S2558" s="25" t="s">
        <v>11331</v>
      </c>
      <c r="T2558" s="25" t="s">
        <v>43</v>
      </c>
      <c r="U2558" s="5"/>
      <c r="V2558" s="5" t="s">
        <v>11332</v>
      </c>
      <c r="W2558" s="5" t="s">
        <v>46</v>
      </c>
      <c r="X2558" s="5"/>
      <c r="Y2558" s="5"/>
      <c r="Z2558" s="5" t="str">
        <f>HYPERLINK("https://knigipp.ru/api/getInfo/image/7e2a224b-60ab-11eb-a26d-ac1f6b442184")</f>
        <v>https://knigipp.ru/api/getInfo/image/7e2a224b-60ab-11eb-a26d-ac1f6b442184</v>
      </c>
      <c r="AA2558" s="33">
        <v>10</v>
      </c>
      <c r="AB2558" s="5"/>
      <c r="AC2558" s="5" t="s">
        <v>140</v>
      </c>
      <c r="AD2558" s="5"/>
      <c r="AE2558" s="5" t="s">
        <v>49</v>
      </c>
      <c r="AF2558" s="5"/>
      <c r="AG2558" s="5"/>
      <c r="AH2558" s="5" t="s">
        <v>2624</v>
      </c>
    </row>
    <row r="2559" spans="2:35" ht="21" customHeight="1" outlineLevel="4" x14ac:dyDescent="0.2">
      <c r="B2559" s="42">
        <v>2034</v>
      </c>
      <c r="C2559" s="5" t="s">
        <v>11333</v>
      </c>
      <c r="D2559" s="5" t="s">
        <v>11334</v>
      </c>
      <c r="E2559" s="6" t="s">
        <v>11335</v>
      </c>
      <c r="F2559" s="10"/>
      <c r="G2559" s="11" t="s">
        <v>11330</v>
      </c>
      <c r="H2559" s="12">
        <v>40</v>
      </c>
      <c r="I2559" s="13" t="s">
        <v>41</v>
      </c>
      <c r="J2559" s="13"/>
      <c r="K2559" s="13"/>
      <c r="L2559" s="4">
        <v>5</v>
      </c>
      <c r="M2559" s="14">
        <f>127*(1-P3/100)</f>
        <v>127</v>
      </c>
      <c r="N2559" s="15"/>
      <c r="O2559" s="13">
        <f t="shared" si="113"/>
        <v>0</v>
      </c>
      <c r="P2559" s="22">
        <f>0.144*N2559</f>
        <v>0</v>
      </c>
      <c r="Q2559" s="23">
        <f>0.00021*N2559</f>
        <v>0</v>
      </c>
      <c r="R2559" s="24"/>
      <c r="S2559" s="25" t="s">
        <v>11336</v>
      </c>
      <c r="T2559" s="25" t="s">
        <v>43</v>
      </c>
      <c r="U2559" s="5"/>
      <c r="V2559" s="5"/>
      <c r="W2559" s="5" t="s">
        <v>46</v>
      </c>
      <c r="X2559" s="5"/>
      <c r="Y2559" s="5"/>
      <c r="Z2559" s="5" t="str">
        <f>HYPERLINK("https://knigipp.ru/api/getInfo/image/a949f1d8-60ab-11eb-a26d-ac1f6b442184")</f>
        <v>https://knigipp.ru/api/getInfo/image/a949f1d8-60ab-11eb-a26d-ac1f6b442184</v>
      </c>
      <c r="AA2559" s="33">
        <v>10</v>
      </c>
      <c r="AB2559" s="5"/>
      <c r="AC2559" s="5" t="s">
        <v>140</v>
      </c>
      <c r="AD2559" s="5"/>
      <c r="AE2559" s="5" t="s">
        <v>49</v>
      </c>
      <c r="AF2559" s="5"/>
      <c r="AG2559" s="5"/>
      <c r="AH2559" s="5" t="s">
        <v>2624</v>
      </c>
    </row>
    <row r="2560" spans="2:35" ht="21" customHeight="1" outlineLevel="4" x14ac:dyDescent="0.2">
      <c r="B2560" s="43">
        <v>2035</v>
      </c>
      <c r="C2560" s="8" t="s">
        <v>11337</v>
      </c>
      <c r="D2560" s="8" t="s">
        <v>11338</v>
      </c>
      <c r="E2560" s="9" t="s">
        <v>11339</v>
      </c>
      <c r="F2560" s="16"/>
      <c r="G2560" s="17" t="s">
        <v>11340</v>
      </c>
      <c r="H2560" s="18">
        <v>40</v>
      </c>
      <c r="I2560" s="19" t="s">
        <v>41</v>
      </c>
      <c r="J2560" s="19"/>
      <c r="K2560" s="19"/>
      <c r="L2560" s="7">
        <v>5</v>
      </c>
      <c r="M2560" s="21">
        <f>127*(1-P3/100)</f>
        <v>127</v>
      </c>
      <c r="N2560" s="15"/>
      <c r="O2560" s="19">
        <f t="shared" si="113"/>
        <v>0</v>
      </c>
      <c r="P2560" s="26">
        <f>0.111*N2560</f>
        <v>0</v>
      </c>
      <c r="Q2560" s="27">
        <f>0.00018*N2560</f>
        <v>0</v>
      </c>
      <c r="R2560" s="28" t="s">
        <v>81</v>
      </c>
      <c r="S2560" s="29" t="s">
        <v>11341</v>
      </c>
      <c r="T2560" s="29" t="s">
        <v>43</v>
      </c>
      <c r="U2560" s="8" t="s">
        <v>128</v>
      </c>
      <c r="V2560" s="8"/>
      <c r="W2560" s="8" t="s">
        <v>46</v>
      </c>
      <c r="X2560" s="8"/>
      <c r="Y2560" s="8"/>
      <c r="Z2560" s="8" t="str">
        <f>HYPERLINK("https://knigipp.ru/api/getInfo/image/9659eedc-e573-11f0-a28c-00155d82e908")</f>
        <v>https://knigipp.ru/api/getInfo/image/9659eedc-e573-11f0-a28c-00155d82e908</v>
      </c>
      <c r="AA2560" s="34">
        <v>10</v>
      </c>
      <c r="AB2560" s="8" t="s">
        <v>47</v>
      </c>
      <c r="AC2560" s="8" t="s">
        <v>140</v>
      </c>
      <c r="AD2560" s="8"/>
      <c r="AE2560" s="8" t="s">
        <v>49</v>
      </c>
      <c r="AF2560" s="8"/>
      <c r="AG2560" s="8" t="s">
        <v>11342</v>
      </c>
      <c r="AH2560" s="8" t="s">
        <v>10416</v>
      </c>
      <c r="AI2560" s="55"/>
    </row>
    <row r="2561" spans="2:34" ht="21" customHeight="1" outlineLevel="4" x14ac:dyDescent="0.2">
      <c r="B2561" s="42">
        <v>2036</v>
      </c>
      <c r="C2561" s="5" t="s">
        <v>11343</v>
      </c>
      <c r="D2561" s="5" t="s">
        <v>11344</v>
      </c>
      <c r="E2561" s="6" t="s">
        <v>11345</v>
      </c>
      <c r="F2561" s="10"/>
      <c r="G2561" s="11"/>
      <c r="H2561" s="12">
        <v>40</v>
      </c>
      <c r="I2561" s="13" t="s">
        <v>41</v>
      </c>
      <c r="J2561" s="13"/>
      <c r="K2561" s="13"/>
      <c r="L2561" s="4">
        <v>5</v>
      </c>
      <c r="M2561" s="14">
        <f>127*(1-P3/100)</f>
        <v>127</v>
      </c>
      <c r="N2561" s="15"/>
      <c r="O2561" s="13">
        <f t="shared" si="113"/>
        <v>0</v>
      </c>
      <c r="P2561" s="22">
        <f>0.114*N2561</f>
        <v>0</v>
      </c>
      <c r="Q2561" s="23">
        <f>0.00007*N2561</f>
        <v>0</v>
      </c>
      <c r="R2561" s="24"/>
      <c r="S2561" s="25" t="s">
        <v>11346</v>
      </c>
      <c r="T2561" s="25" t="s">
        <v>43</v>
      </c>
      <c r="U2561" s="5"/>
      <c r="V2561" s="5" t="s">
        <v>11347</v>
      </c>
      <c r="W2561" s="5" t="s">
        <v>46</v>
      </c>
      <c r="X2561" s="5"/>
      <c r="Y2561" s="5"/>
      <c r="Z2561" s="5" t="str">
        <f>HYPERLINK("https://knigipp.ru/api/getInfo/image/3e4aa6bb-74f6-11ef-a265-00155d82e908")</f>
        <v>https://knigipp.ru/api/getInfo/image/3e4aa6bb-74f6-11ef-a265-00155d82e908</v>
      </c>
      <c r="AA2561" s="33">
        <v>10</v>
      </c>
      <c r="AB2561" s="5"/>
      <c r="AC2561" s="5" t="s">
        <v>140</v>
      </c>
      <c r="AD2561" s="5"/>
      <c r="AE2561" s="5" t="s">
        <v>49</v>
      </c>
      <c r="AF2561" s="5"/>
      <c r="AG2561" s="5"/>
      <c r="AH2561" s="5" t="s">
        <v>2624</v>
      </c>
    </row>
    <row r="2562" spans="2:34" ht="21" customHeight="1" outlineLevel="4" x14ac:dyDescent="0.2">
      <c r="B2562" s="42">
        <v>2037</v>
      </c>
      <c r="C2562" s="5" t="s">
        <v>11348</v>
      </c>
      <c r="D2562" s="5" t="s">
        <v>11349</v>
      </c>
      <c r="E2562" s="6" t="s">
        <v>11350</v>
      </c>
      <c r="F2562" s="10"/>
      <c r="G2562" s="11" t="s">
        <v>11351</v>
      </c>
      <c r="H2562" s="12">
        <v>40</v>
      </c>
      <c r="I2562" s="13" t="s">
        <v>41</v>
      </c>
      <c r="J2562" s="13"/>
      <c r="K2562" s="13"/>
      <c r="L2562" s="4">
        <v>5</v>
      </c>
      <c r="M2562" s="14">
        <f>127*(1-P3/100)</f>
        <v>127</v>
      </c>
      <c r="N2562" s="15"/>
      <c r="O2562" s="13">
        <f t="shared" si="113"/>
        <v>0</v>
      </c>
      <c r="P2562" s="22">
        <f>0.132*N2562</f>
        <v>0</v>
      </c>
      <c r="Q2562" s="23">
        <f>0.00022*N2562</f>
        <v>0</v>
      </c>
      <c r="R2562" s="24"/>
      <c r="S2562" s="25" t="s">
        <v>11352</v>
      </c>
      <c r="T2562" s="25" t="s">
        <v>43</v>
      </c>
      <c r="U2562" s="5"/>
      <c r="V2562" s="5"/>
      <c r="W2562" s="5" t="s">
        <v>46</v>
      </c>
      <c r="X2562" s="5"/>
      <c r="Y2562" s="5"/>
      <c r="Z2562" s="5" t="str">
        <f>HYPERLINK("https://knigipp.ru/api/getInfo/image/5d387adf-549e-11ea-a241-ac1f6b442184")</f>
        <v>https://knigipp.ru/api/getInfo/image/5d387adf-549e-11ea-a241-ac1f6b442184</v>
      </c>
      <c r="AA2562" s="33">
        <v>10</v>
      </c>
      <c r="AB2562" s="5"/>
      <c r="AC2562" s="5" t="s">
        <v>140</v>
      </c>
      <c r="AD2562" s="5"/>
      <c r="AE2562" s="5" t="s">
        <v>49</v>
      </c>
      <c r="AF2562" s="5"/>
      <c r="AG2562" s="5"/>
      <c r="AH2562" s="5" t="s">
        <v>2624</v>
      </c>
    </row>
    <row r="2563" spans="2:34" ht="21" customHeight="1" outlineLevel="4" x14ac:dyDescent="0.2">
      <c r="B2563" s="42">
        <v>2038</v>
      </c>
      <c r="C2563" s="5" t="s">
        <v>11353</v>
      </c>
      <c r="D2563" s="5" t="s">
        <v>11354</v>
      </c>
      <c r="E2563" s="6" t="s">
        <v>11355</v>
      </c>
      <c r="F2563" s="10"/>
      <c r="G2563" s="11" t="s">
        <v>11351</v>
      </c>
      <c r="H2563" s="12">
        <v>40</v>
      </c>
      <c r="I2563" s="13" t="s">
        <v>41</v>
      </c>
      <c r="J2563" s="13"/>
      <c r="K2563" s="13"/>
      <c r="L2563" s="4">
        <v>5</v>
      </c>
      <c r="M2563" s="14">
        <f>127*(1-P3/100)</f>
        <v>127</v>
      </c>
      <c r="N2563" s="15"/>
      <c r="O2563" s="13">
        <f t="shared" si="113"/>
        <v>0</v>
      </c>
      <c r="P2563" s="32">
        <f>0.14*N2563</f>
        <v>0</v>
      </c>
      <c r="Q2563" s="23">
        <f>0.00021*N2563</f>
        <v>0</v>
      </c>
      <c r="R2563" s="24"/>
      <c r="S2563" s="25" t="s">
        <v>11356</v>
      </c>
      <c r="T2563" s="25" t="s">
        <v>43</v>
      </c>
      <c r="U2563" s="5"/>
      <c r="V2563" s="5"/>
      <c r="W2563" s="5" t="s">
        <v>46</v>
      </c>
      <c r="X2563" s="5"/>
      <c r="Y2563" s="5"/>
      <c r="Z2563" s="5" t="str">
        <f>HYPERLINK("https://knigipp.ru/api/getInfo/image/74aa0c4d-549e-11ea-a241-ac1f6b442184")</f>
        <v>https://knigipp.ru/api/getInfo/image/74aa0c4d-549e-11ea-a241-ac1f6b442184</v>
      </c>
      <c r="AA2563" s="33">
        <v>10</v>
      </c>
      <c r="AB2563" s="5"/>
      <c r="AC2563" s="5" t="s">
        <v>140</v>
      </c>
      <c r="AD2563" s="5"/>
      <c r="AE2563" s="5" t="s">
        <v>49</v>
      </c>
      <c r="AF2563" s="5"/>
      <c r="AG2563" s="5"/>
      <c r="AH2563" s="5" t="s">
        <v>2624</v>
      </c>
    </row>
    <row r="2564" spans="2:34" ht="21" customHeight="1" outlineLevel="4" x14ac:dyDescent="0.2">
      <c r="B2564" s="42">
        <v>2039</v>
      </c>
      <c r="C2564" s="5" t="s">
        <v>11357</v>
      </c>
      <c r="D2564" s="5" t="s">
        <v>11358</v>
      </c>
      <c r="E2564" s="6" t="s">
        <v>11359</v>
      </c>
      <c r="F2564" s="10"/>
      <c r="G2564" s="11" t="s">
        <v>11360</v>
      </c>
      <c r="H2564" s="12">
        <v>40</v>
      </c>
      <c r="I2564" s="13" t="s">
        <v>41</v>
      </c>
      <c r="J2564" s="13"/>
      <c r="K2564" s="13"/>
      <c r="L2564" s="4">
        <v>5</v>
      </c>
      <c r="M2564" s="14">
        <f>127*(1-P3/100)</f>
        <v>127</v>
      </c>
      <c r="N2564" s="15"/>
      <c r="O2564" s="13">
        <f t="shared" si="113"/>
        <v>0</v>
      </c>
      <c r="P2564" s="22">
        <f>0.113*N2564</f>
        <v>0</v>
      </c>
      <c r="Q2564" s="23">
        <f>0.00038*N2564</f>
        <v>0</v>
      </c>
      <c r="R2564" s="24"/>
      <c r="S2564" s="25" t="s">
        <v>11361</v>
      </c>
      <c r="T2564" s="25" t="s">
        <v>43</v>
      </c>
      <c r="U2564" s="5" t="s">
        <v>11362</v>
      </c>
      <c r="V2564" s="5"/>
      <c r="W2564" s="5" t="s">
        <v>46</v>
      </c>
      <c r="X2564" s="5"/>
      <c r="Y2564" s="5"/>
      <c r="Z2564" s="5" t="str">
        <f>HYPERLINK("https://knigipp.ru/api/getInfo/image/9c92ac61-354f-11ef-a261-00155d82e908")</f>
        <v>https://knigipp.ru/api/getInfo/image/9c92ac61-354f-11ef-a261-00155d82e908</v>
      </c>
      <c r="AA2564" s="33">
        <v>10</v>
      </c>
      <c r="AB2564" s="5" t="s">
        <v>47</v>
      </c>
      <c r="AC2564" s="5" t="s">
        <v>140</v>
      </c>
      <c r="AD2564" s="5"/>
      <c r="AE2564" s="5" t="s">
        <v>49</v>
      </c>
      <c r="AF2564" s="5"/>
      <c r="AG2564" s="5" t="s">
        <v>11342</v>
      </c>
      <c r="AH2564" s="5" t="s">
        <v>10416</v>
      </c>
    </row>
    <row r="2565" spans="2:34" ht="21" customHeight="1" outlineLevel="4" x14ac:dyDescent="0.2">
      <c r="B2565" s="42">
        <v>2040</v>
      </c>
      <c r="C2565" s="5" t="s">
        <v>11363</v>
      </c>
      <c r="D2565" s="5" t="s">
        <v>11364</v>
      </c>
      <c r="E2565" s="6" t="s">
        <v>11365</v>
      </c>
      <c r="F2565" s="10"/>
      <c r="G2565" s="11" t="s">
        <v>11366</v>
      </c>
      <c r="H2565" s="12">
        <v>40</v>
      </c>
      <c r="I2565" s="13" t="s">
        <v>41</v>
      </c>
      <c r="J2565" s="13"/>
      <c r="K2565" s="13"/>
      <c r="L2565" s="4">
        <v>5</v>
      </c>
      <c r="M2565" s="14">
        <f>127*(1-P3/100)</f>
        <v>127</v>
      </c>
      <c r="N2565" s="15"/>
      <c r="O2565" s="13">
        <f t="shared" si="113"/>
        <v>0</v>
      </c>
      <c r="P2565" s="22">
        <f>0.109*N2565</f>
        <v>0</v>
      </c>
      <c r="Q2565" s="30">
        <f>0.0003*N2565</f>
        <v>0</v>
      </c>
      <c r="R2565" s="24"/>
      <c r="S2565" s="25" t="s">
        <v>11367</v>
      </c>
      <c r="T2565" s="25" t="s">
        <v>43</v>
      </c>
      <c r="U2565" s="5"/>
      <c r="V2565" s="5" t="s">
        <v>11368</v>
      </c>
      <c r="W2565" s="5" t="s">
        <v>46</v>
      </c>
      <c r="X2565" s="5"/>
      <c r="Y2565" s="5"/>
      <c r="Z2565" s="5" t="str">
        <f>HYPERLINK("https://knigipp.ru/api/getInfo/image/b01f9d11-25c4-11f0-a279-00155d82e908")</f>
        <v>https://knigipp.ru/api/getInfo/image/b01f9d11-25c4-11f0-a279-00155d82e908</v>
      </c>
      <c r="AA2565" s="33">
        <v>10</v>
      </c>
      <c r="AB2565" s="5"/>
      <c r="AC2565" s="5" t="s">
        <v>140</v>
      </c>
      <c r="AD2565" s="5"/>
      <c r="AE2565" s="5" t="s">
        <v>49</v>
      </c>
      <c r="AF2565" s="5"/>
      <c r="AG2565" s="5"/>
      <c r="AH2565" s="5" t="s">
        <v>2624</v>
      </c>
    </row>
    <row r="2566" spans="2:34" ht="21" customHeight="1" outlineLevel="4" x14ac:dyDescent="0.2">
      <c r="B2566" s="42">
        <v>2041</v>
      </c>
      <c r="C2566" s="5" t="s">
        <v>11369</v>
      </c>
      <c r="D2566" s="5" t="s">
        <v>11370</v>
      </c>
      <c r="E2566" s="6" t="s">
        <v>11371</v>
      </c>
      <c r="F2566" s="10"/>
      <c r="G2566" s="11" t="s">
        <v>11372</v>
      </c>
      <c r="H2566" s="12">
        <v>40</v>
      </c>
      <c r="I2566" s="13" t="s">
        <v>371</v>
      </c>
      <c r="J2566" s="13"/>
      <c r="K2566" s="13"/>
      <c r="L2566" s="4">
        <v>5</v>
      </c>
      <c r="M2566" s="14">
        <f>127*(1-P3/100)</f>
        <v>127</v>
      </c>
      <c r="N2566" s="15"/>
      <c r="O2566" s="13">
        <f t="shared" si="113"/>
        <v>0</v>
      </c>
      <c r="P2566" s="22">
        <f>0.132*N2566</f>
        <v>0</v>
      </c>
      <c r="Q2566" s="23">
        <f>0.00022*N2566</f>
        <v>0</v>
      </c>
      <c r="R2566" s="24"/>
      <c r="S2566" s="25" t="s">
        <v>11373</v>
      </c>
      <c r="T2566" s="25" t="s">
        <v>43</v>
      </c>
      <c r="U2566" s="5"/>
      <c r="V2566" s="5"/>
      <c r="W2566" s="5" t="s">
        <v>46</v>
      </c>
      <c r="X2566" s="5" t="s">
        <v>253</v>
      </c>
      <c r="Y2566" s="5"/>
      <c r="Z2566" s="5" t="str">
        <f>HYPERLINK("https://knigipp.ru/api/getInfo/image/da97417d-8274-11e7-8697-5cf3fc4a2490")</f>
        <v>https://knigipp.ru/api/getInfo/image/da97417d-8274-11e7-8697-5cf3fc4a2490</v>
      </c>
      <c r="AA2566" s="33">
        <v>10</v>
      </c>
      <c r="AB2566" s="5"/>
      <c r="AC2566" s="5" t="s">
        <v>140</v>
      </c>
      <c r="AD2566" s="5"/>
      <c r="AE2566" s="5" t="s">
        <v>49</v>
      </c>
      <c r="AF2566" s="5"/>
      <c r="AG2566" s="5" t="s">
        <v>363</v>
      </c>
      <c r="AH2566" s="5" t="s">
        <v>2624</v>
      </c>
    </row>
    <row r="2567" spans="2:34" ht="21" customHeight="1" outlineLevel="4" x14ac:dyDescent="0.2">
      <c r="B2567" s="42">
        <v>2042</v>
      </c>
      <c r="C2567" s="5" t="s">
        <v>11374</v>
      </c>
      <c r="D2567" s="5" t="s">
        <v>11375</v>
      </c>
      <c r="E2567" s="6" t="s">
        <v>11376</v>
      </c>
      <c r="F2567" s="10"/>
      <c r="G2567" s="11" t="s">
        <v>11372</v>
      </c>
      <c r="H2567" s="12">
        <v>40</v>
      </c>
      <c r="I2567" s="13" t="s">
        <v>261</v>
      </c>
      <c r="J2567" s="13"/>
      <c r="K2567" s="13"/>
      <c r="L2567" s="4">
        <v>5</v>
      </c>
      <c r="M2567" s="14">
        <f>127*(1-P3/100)</f>
        <v>127</v>
      </c>
      <c r="N2567" s="15"/>
      <c r="O2567" s="13">
        <f t="shared" si="113"/>
        <v>0</v>
      </c>
      <c r="P2567" s="22">
        <f>0.133*N2567</f>
        <v>0</v>
      </c>
      <c r="Q2567" s="23">
        <f>0.00015*N2567</f>
        <v>0</v>
      </c>
      <c r="R2567" s="24"/>
      <c r="S2567" s="25" t="s">
        <v>11377</v>
      </c>
      <c r="T2567" s="25" t="s">
        <v>43</v>
      </c>
      <c r="U2567" s="5"/>
      <c r="V2567" s="5"/>
      <c r="W2567" s="5" t="s">
        <v>46</v>
      </c>
      <c r="X2567" s="5" t="s">
        <v>253</v>
      </c>
      <c r="Y2567" s="5"/>
      <c r="Z2567" s="5" t="str">
        <f>HYPERLINK("https://knigipp.ru/api/getInfo/image/e8ca2701-8274-11e7-8697-5cf3fc4a2490")</f>
        <v>https://knigipp.ru/api/getInfo/image/e8ca2701-8274-11e7-8697-5cf3fc4a2490</v>
      </c>
      <c r="AA2567" s="33">
        <v>10</v>
      </c>
      <c r="AB2567" s="5"/>
      <c r="AC2567" s="5" t="s">
        <v>140</v>
      </c>
      <c r="AD2567" s="5"/>
      <c r="AE2567" s="5" t="s">
        <v>49</v>
      </c>
      <c r="AF2567" s="5"/>
      <c r="AG2567" s="5" t="s">
        <v>363</v>
      </c>
      <c r="AH2567" s="5" t="s">
        <v>2624</v>
      </c>
    </row>
    <row r="2568" spans="2:34" ht="21" customHeight="1" outlineLevel="4" x14ac:dyDescent="0.2">
      <c r="B2568" s="42">
        <v>2043</v>
      </c>
      <c r="C2568" s="5" t="s">
        <v>11378</v>
      </c>
      <c r="D2568" s="5" t="s">
        <v>11379</v>
      </c>
      <c r="E2568" s="6" t="s">
        <v>11380</v>
      </c>
      <c r="F2568" s="10"/>
      <c r="G2568" s="11" t="s">
        <v>11381</v>
      </c>
      <c r="H2568" s="12">
        <v>40</v>
      </c>
      <c r="I2568" s="13" t="s">
        <v>41</v>
      </c>
      <c r="J2568" s="13"/>
      <c r="K2568" s="13"/>
      <c r="L2568" s="4">
        <v>5</v>
      </c>
      <c r="M2568" s="14">
        <f>127*(1-P3/100)</f>
        <v>127</v>
      </c>
      <c r="N2568" s="15"/>
      <c r="O2568" s="13">
        <f t="shared" si="113"/>
        <v>0</v>
      </c>
      <c r="P2568" s="22">
        <f>0.109*N2568</f>
        <v>0</v>
      </c>
      <c r="Q2568" s="30">
        <f>0.0003*N2568</f>
        <v>0</v>
      </c>
      <c r="R2568" s="24"/>
      <c r="S2568" s="25" t="s">
        <v>11382</v>
      </c>
      <c r="T2568" s="25" t="s">
        <v>43</v>
      </c>
      <c r="U2568" s="5"/>
      <c r="V2568" s="5" t="s">
        <v>11383</v>
      </c>
      <c r="W2568" s="5" t="s">
        <v>46</v>
      </c>
      <c r="X2568" s="5"/>
      <c r="Y2568" s="5"/>
      <c r="Z2568" s="5" t="str">
        <f>HYPERLINK("https://knigipp.ru/api/getInfo/image/55b1dc3a-7f37-11ef-a265-00155d82e908")</f>
        <v>https://knigipp.ru/api/getInfo/image/55b1dc3a-7f37-11ef-a265-00155d82e908</v>
      </c>
      <c r="AA2568" s="33">
        <v>10</v>
      </c>
      <c r="AB2568" s="5" t="s">
        <v>47</v>
      </c>
      <c r="AC2568" s="5" t="s">
        <v>140</v>
      </c>
      <c r="AD2568" s="5"/>
      <c r="AE2568" s="5" t="s">
        <v>49</v>
      </c>
      <c r="AF2568" s="5"/>
      <c r="AG2568" s="5"/>
      <c r="AH2568" s="5" t="s">
        <v>2624</v>
      </c>
    </row>
    <row r="2569" spans="2:34" ht="21" customHeight="1" outlineLevel="4" x14ac:dyDescent="0.2">
      <c r="B2569" s="42">
        <v>2044</v>
      </c>
      <c r="C2569" s="5" t="s">
        <v>11384</v>
      </c>
      <c r="D2569" s="5" t="s">
        <v>11385</v>
      </c>
      <c r="E2569" s="6" t="s">
        <v>11386</v>
      </c>
      <c r="F2569" s="10"/>
      <c r="G2569" s="11" t="s">
        <v>11381</v>
      </c>
      <c r="H2569" s="12">
        <v>40</v>
      </c>
      <c r="I2569" s="13" t="s">
        <v>41</v>
      </c>
      <c r="J2569" s="13"/>
      <c r="K2569" s="13"/>
      <c r="L2569" s="4">
        <v>5</v>
      </c>
      <c r="M2569" s="14">
        <f>127*(1-P3/100)</f>
        <v>127</v>
      </c>
      <c r="N2569" s="15"/>
      <c r="O2569" s="13">
        <f t="shared" si="113"/>
        <v>0</v>
      </c>
      <c r="P2569" s="22">
        <f>0.112*N2569</f>
        <v>0</v>
      </c>
      <c r="Q2569" s="23">
        <f>0.00026*N2569</f>
        <v>0</v>
      </c>
      <c r="R2569" s="24"/>
      <c r="S2569" s="25" t="s">
        <v>11387</v>
      </c>
      <c r="T2569" s="25" t="s">
        <v>43</v>
      </c>
      <c r="U2569" s="5" t="s">
        <v>11388</v>
      </c>
      <c r="V2569" s="5" t="s">
        <v>11389</v>
      </c>
      <c r="W2569" s="5" t="s">
        <v>46</v>
      </c>
      <c r="X2569" s="5"/>
      <c r="Y2569" s="5"/>
      <c r="Z2569" s="5" t="str">
        <f>HYPERLINK("https://knigipp.ru/api/getInfo/image/03753b26-ae51-11ef-a267-00155d82e908")</f>
        <v>https://knigipp.ru/api/getInfo/image/03753b26-ae51-11ef-a267-00155d82e908</v>
      </c>
      <c r="AA2569" s="33">
        <v>10</v>
      </c>
      <c r="AB2569" s="5" t="s">
        <v>47</v>
      </c>
      <c r="AC2569" s="5" t="s">
        <v>140</v>
      </c>
      <c r="AD2569" s="5"/>
      <c r="AE2569" s="5" t="s">
        <v>49</v>
      </c>
      <c r="AF2569" s="5"/>
      <c r="AG2569" s="5"/>
      <c r="AH2569" s="5" t="s">
        <v>2624</v>
      </c>
    </row>
    <row r="2570" spans="2:34" ht="21" customHeight="1" outlineLevel="4" x14ac:dyDescent="0.2">
      <c r="B2570" s="42">
        <v>2045</v>
      </c>
      <c r="C2570" s="5" t="s">
        <v>11390</v>
      </c>
      <c r="D2570" s="5" t="s">
        <v>11391</v>
      </c>
      <c r="E2570" s="6" t="s">
        <v>11392</v>
      </c>
      <c r="F2570" s="10"/>
      <c r="G2570" s="11" t="s">
        <v>11393</v>
      </c>
      <c r="H2570" s="12">
        <v>40</v>
      </c>
      <c r="I2570" s="13" t="s">
        <v>41</v>
      </c>
      <c r="J2570" s="13"/>
      <c r="K2570" s="13"/>
      <c r="L2570" s="4">
        <v>5</v>
      </c>
      <c r="M2570" s="14">
        <f>127*(1-P3/100)</f>
        <v>127</v>
      </c>
      <c r="N2570" s="15"/>
      <c r="O2570" s="13">
        <f t="shared" si="113"/>
        <v>0</v>
      </c>
      <c r="P2570" s="22">
        <f>0.108*N2570</f>
        <v>0</v>
      </c>
      <c r="Q2570" s="30">
        <f>0.0003*N2570</f>
        <v>0</v>
      </c>
      <c r="R2570" s="24"/>
      <c r="S2570" s="25" t="s">
        <v>11394</v>
      </c>
      <c r="T2570" s="25" t="s">
        <v>43</v>
      </c>
      <c r="U2570" s="5"/>
      <c r="V2570" s="5" t="s">
        <v>11395</v>
      </c>
      <c r="W2570" s="5" t="s">
        <v>46</v>
      </c>
      <c r="X2570" s="5"/>
      <c r="Y2570" s="5"/>
      <c r="Z2570" s="5" t="str">
        <f>HYPERLINK("https://knigipp.ru/api/getInfo/image/47a24c91-0e3b-11f0-a279-00155d82e908")</f>
        <v>https://knigipp.ru/api/getInfo/image/47a24c91-0e3b-11f0-a279-00155d82e908</v>
      </c>
      <c r="AA2570" s="33">
        <v>10</v>
      </c>
      <c r="AB2570" s="5" t="s">
        <v>47</v>
      </c>
      <c r="AC2570" s="5" t="s">
        <v>140</v>
      </c>
      <c r="AD2570" s="5"/>
      <c r="AE2570" s="5" t="s">
        <v>49</v>
      </c>
      <c r="AF2570" s="5"/>
      <c r="AG2570" s="5"/>
      <c r="AH2570" s="5" t="s">
        <v>2624</v>
      </c>
    </row>
    <row r="2571" spans="2:34" ht="21" customHeight="1" outlineLevel="4" x14ac:dyDescent="0.2">
      <c r="B2571" s="42">
        <v>2046</v>
      </c>
      <c r="C2571" s="5" t="s">
        <v>11396</v>
      </c>
      <c r="D2571" s="5" t="s">
        <v>11397</v>
      </c>
      <c r="E2571" s="6" t="s">
        <v>11398</v>
      </c>
      <c r="F2571" s="10"/>
      <c r="G2571" s="11" t="s">
        <v>11393</v>
      </c>
      <c r="H2571" s="12">
        <v>40</v>
      </c>
      <c r="I2571" s="13" t="s">
        <v>41</v>
      </c>
      <c r="J2571" s="13"/>
      <c r="K2571" s="13"/>
      <c r="L2571" s="4">
        <v>5</v>
      </c>
      <c r="M2571" s="14">
        <f>127*(1-P3/100)</f>
        <v>127</v>
      </c>
      <c r="N2571" s="15"/>
      <c r="O2571" s="13">
        <f t="shared" si="113"/>
        <v>0</v>
      </c>
      <c r="P2571" s="22">
        <f>0.113*N2571</f>
        <v>0</v>
      </c>
      <c r="Q2571" s="23">
        <f>0.00027*N2571</f>
        <v>0</v>
      </c>
      <c r="R2571" s="24"/>
      <c r="S2571" s="25" t="s">
        <v>11399</v>
      </c>
      <c r="T2571" s="25" t="s">
        <v>43</v>
      </c>
      <c r="U2571" s="5"/>
      <c r="V2571" s="5" t="s">
        <v>11400</v>
      </c>
      <c r="W2571" s="5" t="s">
        <v>46</v>
      </c>
      <c r="X2571" s="5"/>
      <c r="Y2571" s="5"/>
      <c r="Z2571" s="5" t="str">
        <f>HYPERLINK("https://knigipp.ru/api/getInfo/image/72c45d55-0e3b-11f0-a279-00155d82e908")</f>
        <v>https://knigipp.ru/api/getInfo/image/72c45d55-0e3b-11f0-a279-00155d82e908</v>
      </c>
      <c r="AA2571" s="33">
        <v>10</v>
      </c>
      <c r="AB2571" s="5" t="s">
        <v>47</v>
      </c>
      <c r="AC2571" s="5" t="s">
        <v>140</v>
      </c>
      <c r="AD2571" s="5"/>
      <c r="AE2571" s="5" t="s">
        <v>49</v>
      </c>
      <c r="AF2571" s="5"/>
      <c r="AG2571" s="5"/>
      <c r="AH2571" s="5" t="s">
        <v>2624</v>
      </c>
    </row>
    <row r="2572" spans="2:34" ht="21" customHeight="1" outlineLevel="4" x14ac:dyDescent="0.2">
      <c r="B2572" s="42">
        <v>2047</v>
      </c>
      <c r="C2572" s="5" t="s">
        <v>11401</v>
      </c>
      <c r="D2572" s="5" t="s">
        <v>11402</v>
      </c>
      <c r="E2572" s="6" t="s">
        <v>11403</v>
      </c>
      <c r="F2572" s="10"/>
      <c r="G2572" s="11" t="s">
        <v>11404</v>
      </c>
      <c r="H2572" s="12">
        <v>40</v>
      </c>
      <c r="I2572" s="13" t="s">
        <v>41</v>
      </c>
      <c r="J2572" s="13"/>
      <c r="K2572" s="13"/>
      <c r="L2572" s="4">
        <v>5</v>
      </c>
      <c r="M2572" s="14">
        <f>127*(1-P3/100)</f>
        <v>127</v>
      </c>
      <c r="N2572" s="15"/>
      <c r="O2572" s="13">
        <f t="shared" si="113"/>
        <v>0</v>
      </c>
      <c r="P2572" s="22">
        <f>0.144*N2572</f>
        <v>0</v>
      </c>
      <c r="Q2572" s="23">
        <f>0.00018*N2572</f>
        <v>0</v>
      </c>
      <c r="R2572" s="24"/>
      <c r="S2572" s="25" t="s">
        <v>11405</v>
      </c>
      <c r="T2572" s="25" t="s">
        <v>43</v>
      </c>
      <c r="U2572" s="5"/>
      <c r="V2572" s="5" t="s">
        <v>11406</v>
      </c>
      <c r="W2572" s="5" t="s">
        <v>46</v>
      </c>
      <c r="X2572" s="5" t="s">
        <v>5305</v>
      </c>
      <c r="Y2572" s="5"/>
      <c r="Z2572" s="5" t="str">
        <f>HYPERLINK("https://knigipp.ru/api/getInfo/image/1e8e1e64-3279-11e8-ba06-5cf3fc4a2490")</f>
        <v>https://knigipp.ru/api/getInfo/image/1e8e1e64-3279-11e8-ba06-5cf3fc4a2490</v>
      </c>
      <c r="AA2572" s="33">
        <v>8</v>
      </c>
      <c r="AB2572" s="5"/>
      <c r="AC2572" s="5" t="s">
        <v>140</v>
      </c>
      <c r="AD2572" s="5"/>
      <c r="AE2572" s="5" t="s">
        <v>49</v>
      </c>
      <c r="AF2572" s="5"/>
      <c r="AG2572" s="5" t="s">
        <v>11342</v>
      </c>
      <c r="AH2572" s="5" t="s">
        <v>11407</v>
      </c>
    </row>
    <row r="2573" spans="2:34" ht="21" customHeight="1" outlineLevel="4" x14ac:dyDescent="0.2">
      <c r="B2573" s="42">
        <v>2048</v>
      </c>
      <c r="C2573" s="5" t="s">
        <v>11408</v>
      </c>
      <c r="D2573" s="5" t="s">
        <v>11409</v>
      </c>
      <c r="E2573" s="6" t="s">
        <v>11410</v>
      </c>
      <c r="F2573" s="10"/>
      <c r="G2573" s="11" t="s">
        <v>11404</v>
      </c>
      <c r="H2573" s="12">
        <v>40</v>
      </c>
      <c r="I2573" s="13" t="s">
        <v>41</v>
      </c>
      <c r="J2573" s="13"/>
      <c r="K2573" s="13"/>
      <c r="L2573" s="4">
        <v>5</v>
      </c>
      <c r="M2573" s="14">
        <f>127*(1-P3/100)</f>
        <v>127</v>
      </c>
      <c r="N2573" s="15"/>
      <c r="O2573" s="13">
        <f t="shared" si="113"/>
        <v>0</v>
      </c>
      <c r="P2573" s="32">
        <f>0.09*N2573</f>
        <v>0</v>
      </c>
      <c r="Q2573" s="23">
        <f>0.00014*N2573</f>
        <v>0</v>
      </c>
      <c r="R2573" s="24"/>
      <c r="S2573" s="25" t="s">
        <v>11411</v>
      </c>
      <c r="T2573" s="25" t="s">
        <v>43</v>
      </c>
      <c r="U2573" s="5"/>
      <c r="V2573" s="5"/>
      <c r="W2573" s="5" t="s">
        <v>46</v>
      </c>
      <c r="X2573" s="5" t="s">
        <v>11412</v>
      </c>
      <c r="Y2573" s="5"/>
      <c r="Z2573" s="5" t="str">
        <f>HYPERLINK("https://knigipp.ru/api/getInfo/image/3ad96b81-16df-11e8-ba06-5cf3fc4a2490")</f>
        <v>https://knigipp.ru/api/getInfo/image/3ad96b81-16df-11e8-ba06-5cf3fc4a2490</v>
      </c>
      <c r="AA2573" s="33">
        <v>8</v>
      </c>
      <c r="AB2573" s="5"/>
      <c r="AC2573" s="5" t="s">
        <v>140</v>
      </c>
      <c r="AD2573" s="5"/>
      <c r="AE2573" s="5" t="s">
        <v>49</v>
      </c>
      <c r="AF2573" s="5"/>
      <c r="AG2573" s="5" t="s">
        <v>11342</v>
      </c>
      <c r="AH2573" s="5" t="s">
        <v>11407</v>
      </c>
    </row>
    <row r="2574" spans="2:34" ht="21" customHeight="1" outlineLevel="4" x14ac:dyDescent="0.2">
      <c r="B2574" s="42">
        <v>2049</v>
      </c>
      <c r="C2574" s="5" t="s">
        <v>11413</v>
      </c>
      <c r="D2574" s="5" t="s">
        <v>11414</v>
      </c>
      <c r="E2574" s="6" t="s">
        <v>11415</v>
      </c>
      <c r="F2574" s="10"/>
      <c r="G2574" s="11" t="s">
        <v>11416</v>
      </c>
      <c r="H2574" s="12">
        <v>40</v>
      </c>
      <c r="I2574" s="13" t="s">
        <v>41</v>
      </c>
      <c r="J2574" s="13"/>
      <c r="K2574" s="13"/>
      <c r="L2574" s="4">
        <v>5</v>
      </c>
      <c r="M2574" s="14">
        <f>127*(1-P3/100)</f>
        <v>127</v>
      </c>
      <c r="N2574" s="15"/>
      <c r="O2574" s="13">
        <f t="shared" si="113"/>
        <v>0</v>
      </c>
      <c r="P2574" s="22">
        <f>0.144*N2574</f>
        <v>0</v>
      </c>
      <c r="Q2574" s="23">
        <f>0.00018*N2574</f>
        <v>0</v>
      </c>
      <c r="R2574" s="24"/>
      <c r="S2574" s="25" t="s">
        <v>11417</v>
      </c>
      <c r="T2574" s="25" t="s">
        <v>43</v>
      </c>
      <c r="U2574" s="5"/>
      <c r="V2574" s="5"/>
      <c r="W2574" s="5" t="s">
        <v>46</v>
      </c>
      <c r="X2574" s="5" t="s">
        <v>11418</v>
      </c>
      <c r="Y2574" s="5"/>
      <c r="Z2574" s="5" t="str">
        <f>HYPERLINK("https://knigipp.ru/api/getInfo/image/554362cf-73b1-11e8-844d-5cf3fc4a2490")</f>
        <v>https://knigipp.ru/api/getInfo/image/554362cf-73b1-11e8-844d-5cf3fc4a2490</v>
      </c>
      <c r="AA2574" s="33">
        <v>8</v>
      </c>
      <c r="AB2574" s="5"/>
      <c r="AC2574" s="5" t="s">
        <v>140</v>
      </c>
      <c r="AD2574" s="5"/>
      <c r="AE2574" s="5" t="s">
        <v>49</v>
      </c>
      <c r="AF2574" s="5"/>
      <c r="AG2574" s="5"/>
      <c r="AH2574" s="5" t="s">
        <v>11407</v>
      </c>
    </row>
    <row r="2575" spans="2:34" ht="21" customHeight="1" outlineLevel="4" x14ac:dyDescent="0.2">
      <c r="B2575" s="42">
        <v>2050</v>
      </c>
      <c r="C2575" s="5" t="s">
        <v>11419</v>
      </c>
      <c r="D2575" s="5" t="s">
        <v>11420</v>
      </c>
      <c r="E2575" s="6" t="s">
        <v>11421</v>
      </c>
      <c r="F2575" s="10"/>
      <c r="G2575" s="11" t="s">
        <v>11404</v>
      </c>
      <c r="H2575" s="12">
        <v>40</v>
      </c>
      <c r="I2575" s="13" t="s">
        <v>41</v>
      </c>
      <c r="J2575" s="13"/>
      <c r="K2575" s="13"/>
      <c r="L2575" s="4">
        <v>5</v>
      </c>
      <c r="M2575" s="14">
        <f>127*(1-P3/100)</f>
        <v>127</v>
      </c>
      <c r="N2575" s="15"/>
      <c r="O2575" s="13">
        <f t="shared" si="113"/>
        <v>0</v>
      </c>
      <c r="P2575" s="22">
        <f>0.144*N2575</f>
        <v>0</v>
      </c>
      <c r="Q2575" s="23">
        <f>0.00018*N2575</f>
        <v>0</v>
      </c>
      <c r="R2575" s="24"/>
      <c r="S2575" s="25" t="s">
        <v>11422</v>
      </c>
      <c r="T2575" s="25" t="s">
        <v>43</v>
      </c>
      <c r="U2575" s="5"/>
      <c r="V2575" s="5" t="s">
        <v>11423</v>
      </c>
      <c r="W2575" s="5" t="s">
        <v>46</v>
      </c>
      <c r="X2575" s="5" t="s">
        <v>5305</v>
      </c>
      <c r="Y2575" s="5"/>
      <c r="Z2575" s="5" t="str">
        <f>HYPERLINK("https://knigipp.ru/api/getInfo/image/3660ab26-3279-11e8-ba06-5cf3fc4a2490")</f>
        <v>https://knigipp.ru/api/getInfo/image/3660ab26-3279-11e8-ba06-5cf3fc4a2490</v>
      </c>
      <c r="AA2575" s="33">
        <v>8</v>
      </c>
      <c r="AB2575" s="5"/>
      <c r="AC2575" s="5" t="s">
        <v>140</v>
      </c>
      <c r="AD2575" s="5"/>
      <c r="AE2575" s="5" t="s">
        <v>49</v>
      </c>
      <c r="AF2575" s="5"/>
      <c r="AG2575" s="5" t="s">
        <v>11342</v>
      </c>
      <c r="AH2575" s="5" t="s">
        <v>11407</v>
      </c>
    </row>
    <row r="2576" spans="2:34" ht="21" customHeight="1" outlineLevel="4" x14ac:dyDescent="0.2">
      <c r="B2576" s="42">
        <v>2051</v>
      </c>
      <c r="C2576" s="5" t="s">
        <v>11424</v>
      </c>
      <c r="D2576" s="5" t="s">
        <v>11425</v>
      </c>
      <c r="E2576" s="6" t="s">
        <v>11426</v>
      </c>
      <c r="F2576" s="10"/>
      <c r="G2576" s="11" t="s">
        <v>11427</v>
      </c>
      <c r="H2576" s="12">
        <v>40</v>
      </c>
      <c r="I2576" s="13" t="s">
        <v>41</v>
      </c>
      <c r="J2576" s="13"/>
      <c r="K2576" s="13"/>
      <c r="L2576" s="4">
        <v>5</v>
      </c>
      <c r="M2576" s="14">
        <f>127*(1-P3/100)</f>
        <v>127</v>
      </c>
      <c r="N2576" s="15"/>
      <c r="O2576" s="13">
        <f t="shared" si="113"/>
        <v>0</v>
      </c>
      <c r="P2576" s="22">
        <f>0.094*N2576</f>
        <v>0</v>
      </c>
      <c r="Q2576" s="23">
        <f>0.00014*N2576</f>
        <v>0</v>
      </c>
      <c r="R2576" s="24"/>
      <c r="S2576" s="25" t="s">
        <v>11428</v>
      </c>
      <c r="T2576" s="25" t="s">
        <v>43</v>
      </c>
      <c r="U2576" s="5"/>
      <c r="V2576" s="5" t="s">
        <v>11429</v>
      </c>
      <c r="W2576" s="5" t="s">
        <v>46</v>
      </c>
      <c r="X2576" s="5" t="s">
        <v>5305</v>
      </c>
      <c r="Y2576" s="5"/>
      <c r="Z2576" s="5" t="str">
        <f>HYPERLINK("https://knigipp.ru/api/getInfo/image/4141b878-3279-11e8-ba06-5cf3fc4a2490")</f>
        <v>https://knigipp.ru/api/getInfo/image/4141b878-3279-11e8-ba06-5cf3fc4a2490</v>
      </c>
      <c r="AA2576" s="33">
        <v>8</v>
      </c>
      <c r="AB2576" s="5"/>
      <c r="AC2576" s="5" t="s">
        <v>140</v>
      </c>
      <c r="AD2576" s="5"/>
      <c r="AE2576" s="5" t="s">
        <v>49</v>
      </c>
      <c r="AF2576" s="5"/>
      <c r="AG2576" s="5" t="s">
        <v>11342</v>
      </c>
      <c r="AH2576" s="5" t="s">
        <v>11407</v>
      </c>
    </row>
    <row r="2577" spans="2:34" ht="21" customHeight="1" outlineLevel="4" x14ac:dyDescent="0.2">
      <c r="B2577" s="42">
        <v>2052</v>
      </c>
      <c r="C2577" s="5" t="s">
        <v>11430</v>
      </c>
      <c r="D2577" s="5" t="s">
        <v>11431</v>
      </c>
      <c r="E2577" s="6" t="s">
        <v>11432</v>
      </c>
      <c r="F2577" s="10"/>
      <c r="G2577" s="11" t="s">
        <v>11404</v>
      </c>
      <c r="H2577" s="12">
        <v>40</v>
      </c>
      <c r="I2577" s="13" t="s">
        <v>41</v>
      </c>
      <c r="J2577" s="13"/>
      <c r="K2577" s="13"/>
      <c r="L2577" s="4">
        <v>5</v>
      </c>
      <c r="M2577" s="14">
        <f>127*(1-P3/100)</f>
        <v>127</v>
      </c>
      <c r="N2577" s="15"/>
      <c r="O2577" s="13">
        <f t="shared" si="113"/>
        <v>0</v>
      </c>
      <c r="P2577" s="22">
        <f>0.144*N2577</f>
        <v>0</v>
      </c>
      <c r="Q2577" s="23">
        <f>0.00018*N2577</f>
        <v>0</v>
      </c>
      <c r="R2577" s="24"/>
      <c r="S2577" s="25" t="s">
        <v>11433</v>
      </c>
      <c r="T2577" s="25" t="s">
        <v>43</v>
      </c>
      <c r="U2577" s="5"/>
      <c r="V2577" s="5"/>
      <c r="W2577" s="5" t="s">
        <v>46</v>
      </c>
      <c r="X2577" s="5" t="s">
        <v>11434</v>
      </c>
      <c r="Y2577" s="5"/>
      <c r="Z2577" s="5" t="str">
        <f>HYPERLINK("https://knigipp.ru/api/getInfo/image/9e389be0-16df-11e8-ba06-5cf3fc4a2490")</f>
        <v>https://knigipp.ru/api/getInfo/image/9e389be0-16df-11e8-ba06-5cf3fc4a2490</v>
      </c>
      <c r="AA2577" s="33">
        <v>8</v>
      </c>
      <c r="AB2577" s="5"/>
      <c r="AC2577" s="5" t="s">
        <v>140</v>
      </c>
      <c r="AD2577" s="5"/>
      <c r="AE2577" s="5" t="s">
        <v>49</v>
      </c>
      <c r="AF2577" s="5"/>
      <c r="AG2577" s="5" t="s">
        <v>11342</v>
      </c>
      <c r="AH2577" s="5" t="s">
        <v>11407</v>
      </c>
    </row>
    <row r="2578" spans="2:34" ht="21" customHeight="1" outlineLevel="4" x14ac:dyDescent="0.2">
      <c r="B2578" s="42">
        <v>2053</v>
      </c>
      <c r="C2578" s="5" t="s">
        <v>11435</v>
      </c>
      <c r="D2578" s="5" t="s">
        <v>11436</v>
      </c>
      <c r="E2578" s="6" t="s">
        <v>11437</v>
      </c>
      <c r="F2578" s="10"/>
      <c r="G2578" s="11" t="s">
        <v>11438</v>
      </c>
      <c r="H2578" s="12">
        <v>40</v>
      </c>
      <c r="I2578" s="13" t="s">
        <v>41</v>
      </c>
      <c r="J2578" s="13"/>
      <c r="K2578" s="13"/>
      <c r="L2578" s="4">
        <v>5</v>
      </c>
      <c r="M2578" s="14">
        <f>127*(1-P3/100)</f>
        <v>127</v>
      </c>
      <c r="N2578" s="15"/>
      <c r="O2578" s="13">
        <f t="shared" si="113"/>
        <v>0</v>
      </c>
      <c r="P2578" s="22">
        <f>0.144*N2578</f>
        <v>0</v>
      </c>
      <c r="Q2578" s="23">
        <f>0.00018*N2578</f>
        <v>0</v>
      </c>
      <c r="R2578" s="24"/>
      <c r="S2578" s="25" t="s">
        <v>11439</v>
      </c>
      <c r="T2578" s="25" t="s">
        <v>43</v>
      </c>
      <c r="U2578" s="5"/>
      <c r="V2578" s="5" t="s">
        <v>11440</v>
      </c>
      <c r="W2578" s="5"/>
      <c r="X2578" s="5" t="s">
        <v>11418</v>
      </c>
      <c r="Y2578" s="5"/>
      <c r="Z2578" s="5" t="str">
        <f>HYPERLINK("https://knigipp.ru/api/getInfo/image/35da70dd-73b1-11e8-844d-5cf3fc4a2490")</f>
        <v>https://knigipp.ru/api/getInfo/image/35da70dd-73b1-11e8-844d-5cf3fc4a2490</v>
      </c>
      <c r="AA2578" s="33">
        <v>8</v>
      </c>
      <c r="AB2578" s="5"/>
      <c r="AC2578" s="5" t="s">
        <v>140</v>
      </c>
      <c r="AD2578" s="5"/>
      <c r="AE2578" s="5" t="s">
        <v>49</v>
      </c>
      <c r="AF2578" s="5"/>
      <c r="AG2578" s="5"/>
      <c r="AH2578" s="5" t="s">
        <v>11407</v>
      </c>
    </row>
    <row r="2579" spans="2:34" ht="21" customHeight="1" outlineLevel="4" x14ac:dyDescent="0.2">
      <c r="B2579" s="42">
        <v>2054</v>
      </c>
      <c r="C2579" s="5" t="s">
        <v>11441</v>
      </c>
      <c r="D2579" s="5" t="s">
        <v>11442</v>
      </c>
      <c r="E2579" s="6" t="s">
        <v>11443</v>
      </c>
      <c r="F2579" s="10"/>
      <c r="G2579" s="11" t="s">
        <v>11404</v>
      </c>
      <c r="H2579" s="12">
        <v>40</v>
      </c>
      <c r="I2579" s="13" t="s">
        <v>41</v>
      </c>
      <c r="J2579" s="13"/>
      <c r="K2579" s="13"/>
      <c r="L2579" s="4">
        <v>5</v>
      </c>
      <c r="M2579" s="14">
        <f>127*(1-P3/100)</f>
        <v>127</v>
      </c>
      <c r="N2579" s="15"/>
      <c r="O2579" s="13">
        <f t="shared" si="113"/>
        <v>0</v>
      </c>
      <c r="P2579" s="22">
        <f>0.144*N2579</f>
        <v>0</v>
      </c>
      <c r="Q2579" s="23">
        <f>0.00018*N2579</f>
        <v>0</v>
      </c>
      <c r="R2579" s="24"/>
      <c r="S2579" s="25" t="s">
        <v>11444</v>
      </c>
      <c r="T2579" s="25" t="s">
        <v>43</v>
      </c>
      <c r="U2579" s="5"/>
      <c r="V2579" s="5"/>
      <c r="W2579" s="5" t="s">
        <v>46</v>
      </c>
      <c r="X2579" s="5" t="s">
        <v>5305</v>
      </c>
      <c r="Y2579" s="5"/>
      <c r="Z2579" s="5" t="str">
        <f>HYPERLINK("https://knigipp.ru/api/getInfo/image/49d93294-3279-11e8-ba06-5cf3fc4a2490")</f>
        <v>https://knigipp.ru/api/getInfo/image/49d93294-3279-11e8-ba06-5cf3fc4a2490</v>
      </c>
      <c r="AA2579" s="33">
        <v>8</v>
      </c>
      <c r="AB2579" s="5"/>
      <c r="AC2579" s="5" t="s">
        <v>140</v>
      </c>
      <c r="AD2579" s="5"/>
      <c r="AE2579" s="5" t="s">
        <v>49</v>
      </c>
      <c r="AF2579" s="5"/>
      <c r="AG2579" s="5" t="s">
        <v>11342</v>
      </c>
      <c r="AH2579" s="5" t="s">
        <v>11407</v>
      </c>
    </row>
    <row r="2580" spans="2:34" ht="21" customHeight="1" outlineLevel="4" x14ac:dyDescent="0.2">
      <c r="B2580" s="42">
        <v>2055</v>
      </c>
      <c r="C2580" s="5" t="s">
        <v>11445</v>
      </c>
      <c r="D2580" s="5" t="s">
        <v>11446</v>
      </c>
      <c r="E2580" s="6" t="s">
        <v>11447</v>
      </c>
      <c r="F2580" s="10"/>
      <c r="G2580" s="11" t="s">
        <v>11404</v>
      </c>
      <c r="H2580" s="12">
        <v>40</v>
      </c>
      <c r="I2580" s="13" t="s">
        <v>41</v>
      </c>
      <c r="J2580" s="13"/>
      <c r="K2580" s="13"/>
      <c r="L2580" s="4">
        <v>5</v>
      </c>
      <c r="M2580" s="14">
        <f>127*(1-P3/100)</f>
        <v>127</v>
      </c>
      <c r="N2580" s="15"/>
      <c r="O2580" s="13">
        <f t="shared" si="113"/>
        <v>0</v>
      </c>
      <c r="P2580" s="22">
        <f>0.144*N2580</f>
        <v>0</v>
      </c>
      <c r="Q2580" s="23">
        <f>0.00018*N2580</f>
        <v>0</v>
      </c>
      <c r="R2580" s="24"/>
      <c r="S2580" s="25" t="s">
        <v>11448</v>
      </c>
      <c r="T2580" s="25" t="s">
        <v>43</v>
      </c>
      <c r="U2580" s="5"/>
      <c r="V2580" s="5" t="s">
        <v>11449</v>
      </c>
      <c r="W2580" s="5" t="s">
        <v>46</v>
      </c>
      <c r="X2580" s="5" t="s">
        <v>5305</v>
      </c>
      <c r="Y2580" s="5"/>
      <c r="Z2580" s="5" t="str">
        <f>HYPERLINK("https://knigipp.ru/api/getInfo/image/542dce8b-3279-11e8-ba06-5cf3fc4a2490")</f>
        <v>https://knigipp.ru/api/getInfo/image/542dce8b-3279-11e8-ba06-5cf3fc4a2490</v>
      </c>
      <c r="AA2580" s="33">
        <v>8</v>
      </c>
      <c r="AB2580" s="5"/>
      <c r="AC2580" s="5" t="s">
        <v>140</v>
      </c>
      <c r="AD2580" s="5"/>
      <c r="AE2580" s="5" t="s">
        <v>49</v>
      </c>
      <c r="AF2580" s="5"/>
      <c r="AG2580" s="5" t="s">
        <v>11342</v>
      </c>
      <c r="AH2580" s="5" t="s">
        <v>11407</v>
      </c>
    </row>
    <row r="2581" spans="2:34" ht="21" customHeight="1" outlineLevel="4" x14ac:dyDescent="0.2">
      <c r="B2581" s="42">
        <v>2056</v>
      </c>
      <c r="C2581" s="5" t="s">
        <v>11450</v>
      </c>
      <c r="D2581" s="5" t="s">
        <v>11451</v>
      </c>
      <c r="E2581" s="6" t="s">
        <v>11452</v>
      </c>
      <c r="F2581" s="10"/>
      <c r="G2581" s="11" t="s">
        <v>11404</v>
      </c>
      <c r="H2581" s="12">
        <v>40</v>
      </c>
      <c r="I2581" s="13" t="s">
        <v>41</v>
      </c>
      <c r="J2581" s="13"/>
      <c r="K2581" s="13"/>
      <c r="L2581" s="4">
        <v>5</v>
      </c>
      <c r="M2581" s="14">
        <f>127*(1-P3/100)</f>
        <v>127</v>
      </c>
      <c r="N2581" s="15"/>
      <c r="O2581" s="13">
        <f t="shared" si="113"/>
        <v>0</v>
      </c>
      <c r="P2581" s="22">
        <f>0.091*N2581</f>
        <v>0</v>
      </c>
      <c r="Q2581" s="23">
        <f>0.00014*N2581</f>
        <v>0</v>
      </c>
      <c r="R2581" s="24"/>
      <c r="S2581" s="25" t="s">
        <v>11453</v>
      </c>
      <c r="T2581" s="25" t="s">
        <v>43</v>
      </c>
      <c r="U2581" s="5"/>
      <c r="V2581" s="5"/>
      <c r="W2581" s="5" t="s">
        <v>46</v>
      </c>
      <c r="X2581" s="5" t="s">
        <v>11434</v>
      </c>
      <c r="Y2581" s="5"/>
      <c r="Z2581" s="5" t="str">
        <f>HYPERLINK("https://knigipp.ru/api/getInfo/image/5440a2ad-16df-11e8-ba06-5cf3fc4a2490")</f>
        <v>https://knigipp.ru/api/getInfo/image/5440a2ad-16df-11e8-ba06-5cf3fc4a2490</v>
      </c>
      <c r="AA2581" s="33">
        <v>8</v>
      </c>
      <c r="AB2581" s="5"/>
      <c r="AC2581" s="5" t="s">
        <v>140</v>
      </c>
      <c r="AD2581" s="5"/>
      <c r="AE2581" s="5" t="s">
        <v>49</v>
      </c>
      <c r="AF2581" s="5"/>
      <c r="AG2581" s="5" t="s">
        <v>11342</v>
      </c>
      <c r="AH2581" s="5" t="s">
        <v>11407</v>
      </c>
    </row>
    <row r="2582" spans="2:34" ht="21" customHeight="1" outlineLevel="4" x14ac:dyDescent="0.2">
      <c r="B2582" s="42">
        <v>2057</v>
      </c>
      <c r="C2582" s="5" t="s">
        <v>11454</v>
      </c>
      <c r="D2582" s="5" t="s">
        <v>11455</v>
      </c>
      <c r="E2582" s="6" t="s">
        <v>11456</v>
      </c>
      <c r="F2582" s="10"/>
      <c r="G2582" s="11" t="s">
        <v>11404</v>
      </c>
      <c r="H2582" s="12">
        <v>40</v>
      </c>
      <c r="I2582" s="13" t="s">
        <v>41</v>
      </c>
      <c r="J2582" s="13"/>
      <c r="K2582" s="13"/>
      <c r="L2582" s="4">
        <v>5</v>
      </c>
      <c r="M2582" s="14">
        <f>127*(1-P3/100)</f>
        <v>127</v>
      </c>
      <c r="N2582" s="15"/>
      <c r="O2582" s="13">
        <f t="shared" si="113"/>
        <v>0</v>
      </c>
      <c r="P2582" s="22">
        <f>0.144*N2582</f>
        <v>0</v>
      </c>
      <c r="Q2582" s="23">
        <f>0.00018*N2582</f>
        <v>0</v>
      </c>
      <c r="R2582" s="24"/>
      <c r="S2582" s="25" t="s">
        <v>11457</v>
      </c>
      <c r="T2582" s="25" t="s">
        <v>43</v>
      </c>
      <c r="U2582" s="5"/>
      <c r="V2582" s="5" t="s">
        <v>11458</v>
      </c>
      <c r="W2582" s="5" t="s">
        <v>46</v>
      </c>
      <c r="X2582" s="5" t="s">
        <v>5305</v>
      </c>
      <c r="Y2582" s="5"/>
      <c r="Z2582" s="5" t="str">
        <f>HYPERLINK("https://knigipp.ru/api/getInfo/image/6041edbe-3279-11e8-ba06-5cf3fc4a2490")</f>
        <v>https://knigipp.ru/api/getInfo/image/6041edbe-3279-11e8-ba06-5cf3fc4a2490</v>
      </c>
      <c r="AA2582" s="33">
        <v>8</v>
      </c>
      <c r="AB2582" s="5"/>
      <c r="AC2582" s="5" t="s">
        <v>140</v>
      </c>
      <c r="AD2582" s="5"/>
      <c r="AE2582" s="5" t="s">
        <v>49</v>
      </c>
      <c r="AF2582" s="5"/>
      <c r="AG2582" s="5" t="s">
        <v>11342</v>
      </c>
      <c r="AH2582" s="5" t="s">
        <v>11407</v>
      </c>
    </row>
    <row r="2583" spans="2:34" ht="21" customHeight="1" outlineLevel="4" x14ac:dyDescent="0.2">
      <c r="B2583" s="42">
        <v>2058</v>
      </c>
      <c r="C2583" s="5" t="s">
        <v>11459</v>
      </c>
      <c r="D2583" s="5" t="s">
        <v>11460</v>
      </c>
      <c r="E2583" s="6" t="s">
        <v>11461</v>
      </c>
      <c r="F2583" s="10"/>
      <c r="G2583" s="11" t="s">
        <v>11404</v>
      </c>
      <c r="H2583" s="12">
        <v>40</v>
      </c>
      <c r="I2583" s="13" t="s">
        <v>41</v>
      </c>
      <c r="J2583" s="13"/>
      <c r="K2583" s="13"/>
      <c r="L2583" s="4">
        <v>5</v>
      </c>
      <c r="M2583" s="14">
        <f>127*(1-P3/100)</f>
        <v>127</v>
      </c>
      <c r="N2583" s="15"/>
      <c r="O2583" s="13">
        <f t="shared" si="113"/>
        <v>0</v>
      </c>
      <c r="P2583" s="22">
        <f>0.144*N2583</f>
        <v>0</v>
      </c>
      <c r="Q2583" s="23">
        <f>0.00018*N2583</f>
        <v>0</v>
      </c>
      <c r="R2583" s="24"/>
      <c r="S2583" s="25" t="s">
        <v>11462</v>
      </c>
      <c r="T2583" s="25" t="s">
        <v>43</v>
      </c>
      <c r="U2583" s="5"/>
      <c r="V2583" s="5" t="s">
        <v>11463</v>
      </c>
      <c r="W2583" s="5" t="s">
        <v>46</v>
      </c>
      <c r="X2583" s="5" t="s">
        <v>11434</v>
      </c>
      <c r="Y2583" s="5"/>
      <c r="Z2583" s="5" t="str">
        <f>HYPERLINK("https://knigipp.ru/api/getInfo/image/b4bb8635-16df-11e8-ba06-5cf3fc4a2490")</f>
        <v>https://knigipp.ru/api/getInfo/image/b4bb8635-16df-11e8-ba06-5cf3fc4a2490</v>
      </c>
      <c r="AA2583" s="33">
        <v>8</v>
      </c>
      <c r="AB2583" s="5"/>
      <c r="AC2583" s="5" t="s">
        <v>140</v>
      </c>
      <c r="AD2583" s="5"/>
      <c r="AE2583" s="5" t="s">
        <v>49</v>
      </c>
      <c r="AF2583" s="5"/>
      <c r="AG2583" s="5" t="s">
        <v>11342</v>
      </c>
      <c r="AH2583" s="5" t="s">
        <v>11407</v>
      </c>
    </row>
    <row r="2584" spans="2:34" ht="21" customHeight="1" outlineLevel="4" x14ac:dyDescent="0.2">
      <c r="B2584" s="42">
        <v>2059</v>
      </c>
      <c r="C2584" s="5" t="s">
        <v>11464</v>
      </c>
      <c r="D2584" s="5" t="s">
        <v>11465</v>
      </c>
      <c r="E2584" s="6" t="s">
        <v>11466</v>
      </c>
      <c r="F2584" s="10"/>
      <c r="G2584" s="11" t="s">
        <v>11404</v>
      </c>
      <c r="H2584" s="12">
        <v>40</v>
      </c>
      <c r="I2584" s="13" t="s">
        <v>41</v>
      </c>
      <c r="J2584" s="13"/>
      <c r="K2584" s="13"/>
      <c r="L2584" s="4">
        <v>5</v>
      </c>
      <c r="M2584" s="14">
        <f>127*(1-P3/100)</f>
        <v>127</v>
      </c>
      <c r="N2584" s="15"/>
      <c r="O2584" s="13">
        <f t="shared" si="113"/>
        <v>0</v>
      </c>
      <c r="P2584" s="22">
        <f>0.114*N2584</f>
        <v>0</v>
      </c>
      <c r="Q2584" s="23">
        <f>0.00022*N2584</f>
        <v>0</v>
      </c>
      <c r="R2584" s="24"/>
      <c r="S2584" s="25" t="s">
        <v>11467</v>
      </c>
      <c r="T2584" s="25" t="s">
        <v>43</v>
      </c>
      <c r="U2584" s="5"/>
      <c r="V2584" s="5"/>
      <c r="W2584" s="5" t="s">
        <v>46</v>
      </c>
      <c r="X2584" s="5" t="s">
        <v>5305</v>
      </c>
      <c r="Y2584" s="5"/>
      <c r="Z2584" s="5" t="str">
        <f>HYPERLINK("https://knigipp.ru/api/getInfo/image/6afce500-3279-11e8-ba06-5cf3fc4a2490")</f>
        <v>https://knigipp.ru/api/getInfo/image/6afce500-3279-11e8-ba06-5cf3fc4a2490</v>
      </c>
      <c r="AA2584" s="33">
        <v>8</v>
      </c>
      <c r="AB2584" s="5"/>
      <c r="AC2584" s="5" t="s">
        <v>140</v>
      </c>
      <c r="AD2584" s="5"/>
      <c r="AE2584" s="5" t="s">
        <v>49</v>
      </c>
      <c r="AF2584" s="5"/>
      <c r="AG2584" s="5" t="s">
        <v>11342</v>
      </c>
      <c r="AH2584" s="5" t="s">
        <v>11407</v>
      </c>
    </row>
    <row r="2585" spans="2:34" ht="21" customHeight="1" outlineLevel="4" x14ac:dyDescent="0.2">
      <c r="B2585" s="42">
        <v>2060</v>
      </c>
      <c r="C2585" s="5" t="s">
        <v>11468</v>
      </c>
      <c r="D2585" s="5" t="s">
        <v>11469</v>
      </c>
      <c r="E2585" s="6" t="s">
        <v>11470</v>
      </c>
      <c r="F2585" s="10"/>
      <c r="G2585" s="11" t="s">
        <v>11427</v>
      </c>
      <c r="H2585" s="12">
        <v>40</v>
      </c>
      <c r="I2585" s="13" t="s">
        <v>41</v>
      </c>
      <c r="J2585" s="13"/>
      <c r="K2585" s="13"/>
      <c r="L2585" s="4">
        <v>5</v>
      </c>
      <c r="M2585" s="14">
        <f>127*(1-P3/100)</f>
        <v>127</v>
      </c>
      <c r="N2585" s="15"/>
      <c r="O2585" s="13">
        <f t="shared" si="113"/>
        <v>0</v>
      </c>
      <c r="P2585" s="22">
        <f>0.144*N2585</f>
        <v>0</v>
      </c>
      <c r="Q2585" s="23">
        <f>0.00018*N2585</f>
        <v>0</v>
      </c>
      <c r="R2585" s="24"/>
      <c r="S2585" s="25" t="s">
        <v>11471</v>
      </c>
      <c r="T2585" s="25" t="s">
        <v>43</v>
      </c>
      <c r="U2585" s="5"/>
      <c r="V2585" s="5"/>
      <c r="W2585" s="5" t="s">
        <v>46</v>
      </c>
      <c r="X2585" s="5" t="s">
        <v>11434</v>
      </c>
      <c r="Y2585" s="5"/>
      <c r="Z2585" s="5" t="str">
        <f>HYPERLINK("https://knigipp.ru/api/getInfo/image/4b2fc23e-16df-11e8-ba06-5cf3fc4a2490")</f>
        <v>https://knigipp.ru/api/getInfo/image/4b2fc23e-16df-11e8-ba06-5cf3fc4a2490</v>
      </c>
      <c r="AA2585" s="33">
        <v>8</v>
      </c>
      <c r="AB2585" s="5"/>
      <c r="AC2585" s="5" t="s">
        <v>140</v>
      </c>
      <c r="AD2585" s="5"/>
      <c r="AE2585" s="5" t="s">
        <v>49</v>
      </c>
      <c r="AF2585" s="5"/>
      <c r="AG2585" s="5" t="s">
        <v>11342</v>
      </c>
      <c r="AH2585" s="5" t="s">
        <v>11407</v>
      </c>
    </row>
    <row r="2586" spans="2:34" ht="21" customHeight="1" outlineLevel="4" x14ac:dyDescent="0.2">
      <c r="B2586" s="42">
        <v>2061</v>
      </c>
      <c r="C2586" s="5" t="s">
        <v>11472</v>
      </c>
      <c r="D2586" s="5" t="s">
        <v>11473</v>
      </c>
      <c r="E2586" s="6" t="s">
        <v>11474</v>
      </c>
      <c r="F2586" s="10"/>
      <c r="G2586" s="11" t="s">
        <v>11427</v>
      </c>
      <c r="H2586" s="12">
        <v>40</v>
      </c>
      <c r="I2586" s="13" t="s">
        <v>41</v>
      </c>
      <c r="J2586" s="13"/>
      <c r="K2586" s="13"/>
      <c r="L2586" s="4">
        <v>5</v>
      </c>
      <c r="M2586" s="14">
        <f>127*(1-P3/100)</f>
        <v>127</v>
      </c>
      <c r="N2586" s="15"/>
      <c r="O2586" s="13">
        <f t="shared" si="113"/>
        <v>0</v>
      </c>
      <c r="P2586" s="22">
        <f>0.092*N2586</f>
        <v>0</v>
      </c>
      <c r="Q2586" s="23">
        <f>0.00007*N2586</f>
        <v>0</v>
      </c>
      <c r="R2586" s="24"/>
      <c r="S2586" s="25" t="s">
        <v>11475</v>
      </c>
      <c r="T2586" s="25" t="s">
        <v>43</v>
      </c>
      <c r="U2586" s="5"/>
      <c r="V2586" s="5"/>
      <c r="W2586" s="5" t="s">
        <v>46</v>
      </c>
      <c r="X2586" s="5" t="s">
        <v>5305</v>
      </c>
      <c r="Y2586" s="5"/>
      <c r="Z2586" s="5" t="str">
        <f>HYPERLINK("https://knigipp.ru/api/getInfo/image/75a7329b-3279-11e8-ba06-5cf3fc4a2490")</f>
        <v>https://knigipp.ru/api/getInfo/image/75a7329b-3279-11e8-ba06-5cf3fc4a2490</v>
      </c>
      <c r="AA2586" s="33">
        <v>8</v>
      </c>
      <c r="AB2586" s="5"/>
      <c r="AC2586" s="5" t="s">
        <v>140</v>
      </c>
      <c r="AD2586" s="5"/>
      <c r="AE2586" s="5" t="s">
        <v>49</v>
      </c>
      <c r="AF2586" s="5"/>
      <c r="AG2586" s="5" t="s">
        <v>11342</v>
      </c>
      <c r="AH2586" s="5" t="s">
        <v>11407</v>
      </c>
    </row>
    <row r="2587" spans="2:34" ht="21" customHeight="1" outlineLevel="4" x14ac:dyDescent="0.2">
      <c r="B2587" s="42">
        <v>2062</v>
      </c>
      <c r="C2587" s="5" t="s">
        <v>11476</v>
      </c>
      <c r="D2587" s="5" t="s">
        <v>11477</v>
      </c>
      <c r="E2587" s="6" t="s">
        <v>11478</v>
      </c>
      <c r="F2587" s="10"/>
      <c r="G2587" s="11" t="s">
        <v>11427</v>
      </c>
      <c r="H2587" s="12">
        <v>40</v>
      </c>
      <c r="I2587" s="13" t="s">
        <v>41</v>
      </c>
      <c r="J2587" s="13"/>
      <c r="K2587" s="13"/>
      <c r="L2587" s="4">
        <v>5</v>
      </c>
      <c r="M2587" s="14">
        <f>127*(1-P3/100)</f>
        <v>127</v>
      </c>
      <c r="N2587" s="15"/>
      <c r="O2587" s="13">
        <f t="shared" si="113"/>
        <v>0</v>
      </c>
      <c r="P2587" s="22">
        <f>0.144*N2587</f>
        <v>0</v>
      </c>
      <c r="Q2587" s="23">
        <f>0.00018*N2587</f>
        <v>0</v>
      </c>
      <c r="R2587" s="24"/>
      <c r="S2587" s="25" t="s">
        <v>11479</v>
      </c>
      <c r="T2587" s="25" t="s">
        <v>43</v>
      </c>
      <c r="U2587" s="5"/>
      <c r="V2587" s="5"/>
      <c r="W2587" s="5" t="s">
        <v>46</v>
      </c>
      <c r="X2587" s="5" t="s">
        <v>11412</v>
      </c>
      <c r="Y2587" s="5"/>
      <c r="Z2587" s="5" t="str">
        <f>HYPERLINK("https://knigipp.ru/api/getInfo/image/a6082228-16df-11e8-ba06-5cf3fc4a2490")</f>
        <v>https://knigipp.ru/api/getInfo/image/a6082228-16df-11e8-ba06-5cf3fc4a2490</v>
      </c>
      <c r="AA2587" s="33">
        <v>8</v>
      </c>
      <c r="AB2587" s="5"/>
      <c r="AC2587" s="5" t="s">
        <v>140</v>
      </c>
      <c r="AD2587" s="5"/>
      <c r="AE2587" s="5" t="s">
        <v>49</v>
      </c>
      <c r="AF2587" s="5"/>
      <c r="AG2587" s="5" t="s">
        <v>11342</v>
      </c>
      <c r="AH2587" s="5" t="s">
        <v>11407</v>
      </c>
    </row>
    <row r="2588" spans="2:34" ht="21" customHeight="1" outlineLevel="4" x14ac:dyDescent="0.2">
      <c r="B2588" s="42">
        <v>2063</v>
      </c>
      <c r="C2588" s="5" t="s">
        <v>11480</v>
      </c>
      <c r="D2588" s="5" t="s">
        <v>11481</v>
      </c>
      <c r="E2588" s="6" t="s">
        <v>11482</v>
      </c>
      <c r="F2588" s="10"/>
      <c r="G2588" s="11" t="s">
        <v>11438</v>
      </c>
      <c r="H2588" s="12">
        <v>40</v>
      </c>
      <c r="I2588" s="13" t="s">
        <v>41</v>
      </c>
      <c r="J2588" s="13"/>
      <c r="K2588" s="13"/>
      <c r="L2588" s="4">
        <v>5</v>
      </c>
      <c r="M2588" s="14">
        <f>127*(1-P3/100)</f>
        <v>127</v>
      </c>
      <c r="N2588" s="15"/>
      <c r="O2588" s="13">
        <f t="shared" si="113"/>
        <v>0</v>
      </c>
      <c r="P2588" s="22">
        <f>0.144*N2588</f>
        <v>0</v>
      </c>
      <c r="Q2588" s="23">
        <f>0.00018*N2588</f>
        <v>0</v>
      </c>
      <c r="R2588" s="24"/>
      <c r="S2588" s="25" t="s">
        <v>11483</v>
      </c>
      <c r="T2588" s="25" t="s">
        <v>43</v>
      </c>
      <c r="U2588" s="5"/>
      <c r="V2588" s="5" t="s">
        <v>11484</v>
      </c>
      <c r="W2588" s="5"/>
      <c r="X2588" s="5" t="s">
        <v>11418</v>
      </c>
      <c r="Y2588" s="5"/>
      <c r="Z2588" s="5" t="str">
        <f>HYPERLINK("https://knigipp.ru/api/getInfo/image/464d5826-73b1-11e8-844d-5cf3fc4a2490")</f>
        <v>https://knigipp.ru/api/getInfo/image/464d5826-73b1-11e8-844d-5cf3fc4a2490</v>
      </c>
      <c r="AA2588" s="33">
        <v>8</v>
      </c>
      <c r="AB2588" s="5"/>
      <c r="AC2588" s="5" t="s">
        <v>140</v>
      </c>
      <c r="AD2588" s="5"/>
      <c r="AE2588" s="5" t="s">
        <v>49</v>
      </c>
      <c r="AF2588" s="5"/>
      <c r="AG2588" s="5"/>
      <c r="AH2588" s="5" t="s">
        <v>11407</v>
      </c>
    </row>
    <row r="2589" spans="2:34" ht="21" customHeight="1" outlineLevel="4" x14ac:dyDescent="0.2">
      <c r="B2589" s="42">
        <v>2064</v>
      </c>
      <c r="C2589" s="5" t="s">
        <v>11485</v>
      </c>
      <c r="D2589" s="5" t="s">
        <v>11486</v>
      </c>
      <c r="E2589" s="6" t="s">
        <v>11487</v>
      </c>
      <c r="F2589" s="10"/>
      <c r="G2589" s="11" t="s">
        <v>11404</v>
      </c>
      <c r="H2589" s="12">
        <v>40</v>
      </c>
      <c r="I2589" s="13" t="s">
        <v>41</v>
      </c>
      <c r="J2589" s="13"/>
      <c r="K2589" s="13"/>
      <c r="L2589" s="4">
        <v>5</v>
      </c>
      <c r="M2589" s="14">
        <f>127*(1-P3/100)</f>
        <v>127</v>
      </c>
      <c r="N2589" s="15"/>
      <c r="O2589" s="13">
        <f t="shared" si="113"/>
        <v>0</v>
      </c>
      <c r="P2589" s="22">
        <f>0.144*N2589</f>
        <v>0</v>
      </c>
      <c r="Q2589" s="23">
        <f>0.00018*N2589</f>
        <v>0</v>
      </c>
      <c r="R2589" s="24"/>
      <c r="S2589" s="25" t="s">
        <v>11488</v>
      </c>
      <c r="T2589" s="25" t="s">
        <v>43</v>
      </c>
      <c r="U2589" s="5"/>
      <c r="V2589" s="5" t="s">
        <v>11489</v>
      </c>
      <c r="W2589" s="5" t="s">
        <v>46</v>
      </c>
      <c r="X2589" s="5" t="s">
        <v>11434</v>
      </c>
      <c r="Y2589" s="5"/>
      <c r="Z2589" s="5" t="str">
        <f>HYPERLINK("https://knigipp.ru/api/getInfo/image/beeecede-16df-11e8-ba06-5cf3fc4a2490")</f>
        <v>https://knigipp.ru/api/getInfo/image/beeecede-16df-11e8-ba06-5cf3fc4a2490</v>
      </c>
      <c r="AA2589" s="33">
        <v>8</v>
      </c>
      <c r="AB2589" s="5"/>
      <c r="AC2589" s="5" t="s">
        <v>140</v>
      </c>
      <c r="AD2589" s="5"/>
      <c r="AE2589" s="5" t="s">
        <v>49</v>
      </c>
      <c r="AF2589" s="5"/>
      <c r="AG2589" s="5" t="s">
        <v>11342</v>
      </c>
      <c r="AH2589" s="5" t="s">
        <v>11407</v>
      </c>
    </row>
    <row r="2590" spans="2:34" ht="21" customHeight="1" outlineLevel="4" x14ac:dyDescent="0.2">
      <c r="B2590" s="42">
        <v>2065</v>
      </c>
      <c r="C2590" s="5" t="s">
        <v>11490</v>
      </c>
      <c r="D2590" s="5" t="s">
        <v>11491</v>
      </c>
      <c r="E2590" s="6" t="s">
        <v>11492</v>
      </c>
      <c r="F2590" s="10"/>
      <c r="G2590" s="11" t="s">
        <v>11404</v>
      </c>
      <c r="H2590" s="12">
        <v>40</v>
      </c>
      <c r="I2590" s="13" t="s">
        <v>371</v>
      </c>
      <c r="J2590" s="13"/>
      <c r="K2590" s="13"/>
      <c r="L2590" s="4">
        <v>5</v>
      </c>
      <c r="M2590" s="14">
        <f>127*(1-P3/100)</f>
        <v>127</v>
      </c>
      <c r="N2590" s="15"/>
      <c r="O2590" s="13">
        <f t="shared" si="113"/>
        <v>0</v>
      </c>
      <c r="P2590" s="22">
        <f>0.135*N2590</f>
        <v>0</v>
      </c>
      <c r="Q2590" s="23">
        <f>0.00029*N2590</f>
        <v>0</v>
      </c>
      <c r="R2590" s="24"/>
      <c r="S2590" s="25" t="s">
        <v>11493</v>
      </c>
      <c r="T2590" s="25" t="s">
        <v>43</v>
      </c>
      <c r="U2590" s="5" t="s">
        <v>11494</v>
      </c>
      <c r="V2590" s="5"/>
      <c r="W2590" s="5" t="s">
        <v>46</v>
      </c>
      <c r="X2590" s="5" t="s">
        <v>10020</v>
      </c>
      <c r="Y2590" s="5"/>
      <c r="Z2590" s="5" t="str">
        <f>HYPERLINK("https://knigipp.ru/api/getInfo/image/f0f66c88-cfd7-11e5-98ff-5cf3fc4a2490")</f>
        <v>https://knigipp.ru/api/getInfo/image/f0f66c88-cfd7-11e5-98ff-5cf3fc4a2490</v>
      </c>
      <c r="AA2590" s="33">
        <v>10</v>
      </c>
      <c r="AB2590" s="5"/>
      <c r="AC2590" s="5" t="s">
        <v>140</v>
      </c>
      <c r="AD2590" s="5"/>
      <c r="AE2590" s="5" t="s">
        <v>49</v>
      </c>
      <c r="AF2590" s="5"/>
      <c r="AG2590" s="5" t="s">
        <v>11342</v>
      </c>
      <c r="AH2590" s="5" t="s">
        <v>10416</v>
      </c>
    </row>
    <row r="2591" spans="2:34" ht="21" customHeight="1" outlineLevel="4" x14ac:dyDescent="0.2">
      <c r="B2591" s="42">
        <v>2066</v>
      </c>
      <c r="C2591" s="5" t="s">
        <v>11495</v>
      </c>
      <c r="D2591" s="5" t="s">
        <v>11496</v>
      </c>
      <c r="E2591" s="6" t="s">
        <v>11497</v>
      </c>
      <c r="F2591" s="10"/>
      <c r="G2591" s="11"/>
      <c r="H2591" s="12">
        <v>40</v>
      </c>
      <c r="I2591" s="13" t="s">
        <v>41</v>
      </c>
      <c r="J2591" s="13"/>
      <c r="K2591" s="13"/>
      <c r="L2591" s="4">
        <v>5</v>
      </c>
      <c r="M2591" s="14">
        <f>127*(1-P3/100)</f>
        <v>127</v>
      </c>
      <c r="N2591" s="15"/>
      <c r="O2591" s="13">
        <f t="shared" si="113"/>
        <v>0</v>
      </c>
      <c r="P2591" s="22">
        <f>0.111*N2591</f>
        <v>0</v>
      </c>
      <c r="Q2591" s="30">
        <f>0.0003*N2591</f>
        <v>0</v>
      </c>
      <c r="R2591" s="24"/>
      <c r="S2591" s="25" t="s">
        <v>11498</v>
      </c>
      <c r="T2591" s="25" t="s">
        <v>43</v>
      </c>
      <c r="U2591" s="5"/>
      <c r="V2591" s="5" t="s">
        <v>11499</v>
      </c>
      <c r="W2591" s="5" t="s">
        <v>46</v>
      </c>
      <c r="X2591" s="5"/>
      <c r="Y2591" s="5"/>
      <c r="Z2591" s="5" t="str">
        <f>HYPERLINK("https://knigipp.ru/api/getInfo/image/6b0a42d0-ae4c-11ef-a267-00155d82e908")</f>
        <v>https://knigipp.ru/api/getInfo/image/6b0a42d0-ae4c-11ef-a267-00155d82e908</v>
      </c>
      <c r="AA2591" s="33">
        <v>10</v>
      </c>
      <c r="AB2591" s="5" t="s">
        <v>47</v>
      </c>
      <c r="AC2591" s="5" t="s">
        <v>140</v>
      </c>
      <c r="AD2591" s="5"/>
      <c r="AE2591" s="5" t="s">
        <v>49</v>
      </c>
      <c r="AF2591" s="5"/>
      <c r="AG2591" s="5" t="s">
        <v>11342</v>
      </c>
      <c r="AH2591" s="5" t="s">
        <v>10416</v>
      </c>
    </row>
    <row r="2592" spans="2:34" ht="21" customHeight="1" outlineLevel="4" x14ac:dyDescent="0.2">
      <c r="B2592" s="42">
        <v>2067</v>
      </c>
      <c r="C2592" s="5" t="s">
        <v>11500</v>
      </c>
      <c r="D2592" s="5" t="s">
        <v>11501</v>
      </c>
      <c r="E2592" s="6" t="s">
        <v>11502</v>
      </c>
      <c r="F2592" s="10"/>
      <c r="G2592" s="11" t="s">
        <v>11360</v>
      </c>
      <c r="H2592" s="12">
        <v>40</v>
      </c>
      <c r="I2592" s="13" t="s">
        <v>41</v>
      </c>
      <c r="J2592" s="13"/>
      <c r="K2592" s="13"/>
      <c r="L2592" s="4">
        <v>5</v>
      </c>
      <c r="M2592" s="14">
        <f>127*(1-P3/100)</f>
        <v>127</v>
      </c>
      <c r="N2592" s="15"/>
      <c r="O2592" s="13">
        <f t="shared" si="113"/>
        <v>0</v>
      </c>
      <c r="P2592" s="22">
        <f>0.108*N2592</f>
        <v>0</v>
      </c>
      <c r="Q2592" s="23">
        <f>0.00022*N2592</f>
        <v>0</v>
      </c>
      <c r="R2592" s="24"/>
      <c r="S2592" s="25" t="s">
        <v>11503</v>
      </c>
      <c r="T2592" s="25" t="s">
        <v>43</v>
      </c>
      <c r="U2592" s="5" t="s">
        <v>128</v>
      </c>
      <c r="V2592" s="5"/>
      <c r="W2592" s="5" t="s">
        <v>46</v>
      </c>
      <c r="X2592" s="5"/>
      <c r="Y2592" s="5"/>
      <c r="Z2592" s="5" t="str">
        <f>HYPERLINK("https://knigipp.ru/api/getInfo/image/3385c29c-354e-11ef-a261-00155d82e908")</f>
        <v>https://knigipp.ru/api/getInfo/image/3385c29c-354e-11ef-a261-00155d82e908</v>
      </c>
      <c r="AA2592" s="33">
        <v>10</v>
      </c>
      <c r="AB2592" s="5" t="s">
        <v>47</v>
      </c>
      <c r="AC2592" s="5" t="s">
        <v>140</v>
      </c>
      <c r="AD2592" s="5"/>
      <c r="AE2592" s="5" t="s">
        <v>49</v>
      </c>
      <c r="AF2592" s="5"/>
      <c r="AG2592" s="5"/>
      <c r="AH2592" s="5" t="s">
        <v>10416</v>
      </c>
    </row>
    <row r="2593" spans="2:34" ht="21" customHeight="1" outlineLevel="4" x14ac:dyDescent="0.2">
      <c r="B2593" s="42">
        <v>2068</v>
      </c>
      <c r="C2593" s="5" t="s">
        <v>11504</v>
      </c>
      <c r="D2593" s="5" t="s">
        <v>11505</v>
      </c>
      <c r="E2593" s="6" t="s">
        <v>11506</v>
      </c>
      <c r="F2593" s="10"/>
      <c r="G2593" s="11" t="s">
        <v>11427</v>
      </c>
      <c r="H2593" s="12">
        <v>40</v>
      </c>
      <c r="I2593" s="13" t="s">
        <v>371</v>
      </c>
      <c r="J2593" s="13"/>
      <c r="K2593" s="13"/>
      <c r="L2593" s="4">
        <v>5</v>
      </c>
      <c r="M2593" s="14">
        <f>127*(1-P3/100)</f>
        <v>127</v>
      </c>
      <c r="N2593" s="15"/>
      <c r="O2593" s="13">
        <f t="shared" si="113"/>
        <v>0</v>
      </c>
      <c r="P2593" s="22">
        <f>0.141*N2593</f>
        <v>0</v>
      </c>
      <c r="Q2593" s="30">
        <f>0.0003*N2593</f>
        <v>0</v>
      </c>
      <c r="R2593" s="24"/>
      <c r="S2593" s="25" t="s">
        <v>11507</v>
      </c>
      <c r="T2593" s="25" t="s">
        <v>43</v>
      </c>
      <c r="U2593" s="5" t="s">
        <v>4057</v>
      </c>
      <c r="V2593" s="5"/>
      <c r="W2593" s="5" t="s">
        <v>46</v>
      </c>
      <c r="X2593" s="5" t="s">
        <v>9262</v>
      </c>
      <c r="Y2593" s="5"/>
      <c r="Z2593" s="5" t="str">
        <f>HYPERLINK("https://knigipp.ru/api/getInfo/image/8a0d9a06-c686-11e1-81d3-5ef3fc502493")</f>
        <v>https://knigipp.ru/api/getInfo/image/8a0d9a06-c686-11e1-81d3-5ef3fc502493</v>
      </c>
      <c r="AA2593" s="33">
        <v>10</v>
      </c>
      <c r="AB2593" s="5"/>
      <c r="AC2593" s="5" t="s">
        <v>140</v>
      </c>
      <c r="AD2593" s="5"/>
      <c r="AE2593" s="5" t="s">
        <v>49</v>
      </c>
      <c r="AF2593" s="5"/>
      <c r="AG2593" s="5" t="s">
        <v>11342</v>
      </c>
      <c r="AH2593" s="5" t="s">
        <v>10416</v>
      </c>
    </row>
    <row r="2594" spans="2:34" ht="21" customHeight="1" outlineLevel="4" x14ac:dyDescent="0.2">
      <c r="B2594" s="42">
        <v>2069</v>
      </c>
      <c r="C2594" s="5" t="s">
        <v>11508</v>
      </c>
      <c r="D2594" s="5" t="s">
        <v>11509</v>
      </c>
      <c r="E2594" s="6" t="s">
        <v>11510</v>
      </c>
      <c r="F2594" s="10"/>
      <c r="G2594" s="11" t="s">
        <v>11404</v>
      </c>
      <c r="H2594" s="12">
        <v>40</v>
      </c>
      <c r="I2594" s="13" t="s">
        <v>41</v>
      </c>
      <c r="J2594" s="13"/>
      <c r="K2594" s="13"/>
      <c r="L2594" s="4">
        <v>5</v>
      </c>
      <c r="M2594" s="14">
        <f>127*(1-P3/100)</f>
        <v>127</v>
      </c>
      <c r="N2594" s="15"/>
      <c r="O2594" s="13">
        <f t="shared" si="113"/>
        <v>0</v>
      </c>
      <c r="P2594" s="22">
        <f>0.108*N2594</f>
        <v>0</v>
      </c>
      <c r="Q2594" s="23">
        <f>0.00025*N2594</f>
        <v>0</v>
      </c>
      <c r="R2594" s="24"/>
      <c r="S2594" s="25" t="s">
        <v>11511</v>
      </c>
      <c r="T2594" s="25" t="s">
        <v>43</v>
      </c>
      <c r="U2594" s="5" t="s">
        <v>630</v>
      </c>
      <c r="V2594" s="5"/>
      <c r="W2594" s="5" t="s">
        <v>46</v>
      </c>
      <c r="X2594" s="5"/>
      <c r="Y2594" s="5"/>
      <c r="Z2594" s="5" t="str">
        <f>HYPERLINK("https://knigipp.ru/api/getInfo/image/8ac60c55-33cf-11eb-a25e-ac1f6b442184")</f>
        <v>https://knigipp.ru/api/getInfo/image/8ac60c55-33cf-11eb-a25e-ac1f6b442184</v>
      </c>
      <c r="AA2594" s="33">
        <v>10</v>
      </c>
      <c r="AB2594" s="5"/>
      <c r="AC2594" s="5" t="s">
        <v>140</v>
      </c>
      <c r="AD2594" s="5"/>
      <c r="AE2594" s="5" t="s">
        <v>49</v>
      </c>
      <c r="AF2594" s="5"/>
      <c r="AG2594" s="5" t="s">
        <v>11342</v>
      </c>
      <c r="AH2594" s="5" t="s">
        <v>10416</v>
      </c>
    </row>
    <row r="2595" spans="2:34" ht="21" customHeight="1" outlineLevel="4" x14ac:dyDescent="0.2">
      <c r="B2595" s="42">
        <v>2070</v>
      </c>
      <c r="C2595" s="5" t="s">
        <v>11512</v>
      </c>
      <c r="D2595" s="5" t="s">
        <v>11513</v>
      </c>
      <c r="E2595" s="6" t="s">
        <v>11514</v>
      </c>
      <c r="F2595" s="10"/>
      <c r="G2595" s="11" t="s">
        <v>11427</v>
      </c>
      <c r="H2595" s="12">
        <v>40</v>
      </c>
      <c r="I2595" s="13" t="s">
        <v>41</v>
      </c>
      <c r="J2595" s="13"/>
      <c r="K2595" s="13"/>
      <c r="L2595" s="4">
        <v>5</v>
      </c>
      <c r="M2595" s="14">
        <f>127*(1-P3/100)</f>
        <v>127</v>
      </c>
      <c r="N2595" s="15"/>
      <c r="O2595" s="13">
        <f t="shared" si="113"/>
        <v>0</v>
      </c>
      <c r="P2595" s="22">
        <f>0.114*N2595</f>
        <v>0</v>
      </c>
      <c r="Q2595" s="23">
        <f>0.00036*N2595</f>
        <v>0</v>
      </c>
      <c r="R2595" s="24"/>
      <c r="S2595" s="25" t="s">
        <v>11515</v>
      </c>
      <c r="T2595" s="25" t="s">
        <v>43</v>
      </c>
      <c r="U2595" s="5" t="s">
        <v>630</v>
      </c>
      <c r="V2595" s="5"/>
      <c r="W2595" s="5" t="s">
        <v>46</v>
      </c>
      <c r="X2595" s="5"/>
      <c r="Y2595" s="5"/>
      <c r="Z2595" s="5" t="str">
        <f>HYPERLINK("https://knigipp.ru/api/getInfo/image/7a920b8c-eb66-11ea-a254-ac1f6b442184")</f>
        <v>https://knigipp.ru/api/getInfo/image/7a920b8c-eb66-11ea-a254-ac1f6b442184</v>
      </c>
      <c r="AA2595" s="33">
        <v>10</v>
      </c>
      <c r="AB2595" s="5"/>
      <c r="AC2595" s="5" t="s">
        <v>140</v>
      </c>
      <c r="AD2595" s="5"/>
      <c r="AE2595" s="5" t="s">
        <v>49</v>
      </c>
      <c r="AF2595" s="5"/>
      <c r="AG2595" s="5" t="s">
        <v>11342</v>
      </c>
      <c r="AH2595" s="5" t="s">
        <v>10416</v>
      </c>
    </row>
    <row r="2596" spans="2:34" ht="21" customHeight="1" outlineLevel="4" x14ac:dyDescent="0.2">
      <c r="B2596" s="42">
        <v>2071</v>
      </c>
      <c r="C2596" s="5" t="s">
        <v>11516</v>
      </c>
      <c r="D2596" s="5" t="s">
        <v>11517</v>
      </c>
      <c r="E2596" s="6" t="s">
        <v>11518</v>
      </c>
      <c r="F2596" s="10"/>
      <c r="G2596" s="11" t="s">
        <v>11427</v>
      </c>
      <c r="H2596" s="12">
        <v>40</v>
      </c>
      <c r="I2596" s="13" t="s">
        <v>371</v>
      </c>
      <c r="J2596" s="13"/>
      <c r="K2596" s="13"/>
      <c r="L2596" s="4">
        <v>5</v>
      </c>
      <c r="M2596" s="14">
        <f>127*(1-P3/100)</f>
        <v>127</v>
      </c>
      <c r="N2596" s="15"/>
      <c r="O2596" s="13">
        <f t="shared" si="113"/>
        <v>0</v>
      </c>
      <c r="P2596" s="22">
        <f>0.144*N2596</f>
        <v>0</v>
      </c>
      <c r="Q2596" s="23">
        <f>0.00021*N2596</f>
        <v>0</v>
      </c>
      <c r="R2596" s="24"/>
      <c r="S2596" s="25" t="s">
        <v>11519</v>
      </c>
      <c r="T2596" s="25" t="s">
        <v>43</v>
      </c>
      <c r="U2596" s="5" t="s">
        <v>630</v>
      </c>
      <c r="V2596" s="5"/>
      <c r="W2596" s="5" t="s">
        <v>46</v>
      </c>
      <c r="X2596" s="5" t="s">
        <v>10965</v>
      </c>
      <c r="Y2596" s="5"/>
      <c r="Z2596" s="5" t="str">
        <f>HYPERLINK("https://knigipp.ru/api/getInfo/image/99f6921f-0c72-11e6-b4aa-5cf3fc4a2490")</f>
        <v>https://knigipp.ru/api/getInfo/image/99f6921f-0c72-11e6-b4aa-5cf3fc4a2490</v>
      </c>
      <c r="AA2596" s="33">
        <v>10</v>
      </c>
      <c r="AB2596" s="5"/>
      <c r="AC2596" s="5" t="s">
        <v>140</v>
      </c>
      <c r="AD2596" s="5"/>
      <c r="AE2596" s="5" t="s">
        <v>49</v>
      </c>
      <c r="AF2596" s="5"/>
      <c r="AG2596" s="5" t="s">
        <v>11342</v>
      </c>
      <c r="AH2596" s="5" t="s">
        <v>10416</v>
      </c>
    </row>
    <row r="2597" spans="2:34" ht="21" customHeight="1" outlineLevel="4" x14ac:dyDescent="0.2">
      <c r="B2597" s="42">
        <v>2072</v>
      </c>
      <c r="C2597" s="5" t="s">
        <v>11520</v>
      </c>
      <c r="D2597" s="5" t="s">
        <v>11521</v>
      </c>
      <c r="E2597" s="6" t="s">
        <v>11522</v>
      </c>
      <c r="F2597" s="10"/>
      <c r="G2597" s="11" t="s">
        <v>11523</v>
      </c>
      <c r="H2597" s="12">
        <v>40</v>
      </c>
      <c r="I2597" s="13" t="s">
        <v>41</v>
      </c>
      <c r="J2597" s="13"/>
      <c r="K2597" s="13"/>
      <c r="L2597" s="4">
        <v>5</v>
      </c>
      <c r="M2597" s="14">
        <f>127*(1-P3/100)</f>
        <v>127</v>
      </c>
      <c r="N2597" s="15"/>
      <c r="O2597" s="13">
        <f t="shared" si="113"/>
        <v>0</v>
      </c>
      <c r="P2597" s="22">
        <f>0.109*N2597</f>
        <v>0</v>
      </c>
      <c r="Q2597" s="23">
        <f>0.00026*N2597</f>
        <v>0</v>
      </c>
      <c r="R2597" s="24"/>
      <c r="S2597" s="25" t="s">
        <v>11524</v>
      </c>
      <c r="T2597" s="25" t="s">
        <v>43</v>
      </c>
      <c r="U2597" s="5" t="s">
        <v>630</v>
      </c>
      <c r="V2597" s="5"/>
      <c r="W2597" s="5" t="s">
        <v>46</v>
      </c>
      <c r="X2597" s="5"/>
      <c r="Y2597" s="5"/>
      <c r="Z2597" s="5" t="str">
        <f>HYPERLINK("https://knigipp.ru/api/getInfo/image/3054e621-33d0-11eb-a25e-ac1f6b442184")</f>
        <v>https://knigipp.ru/api/getInfo/image/3054e621-33d0-11eb-a25e-ac1f6b442184</v>
      </c>
      <c r="AA2597" s="33">
        <v>10</v>
      </c>
      <c r="AB2597" s="5"/>
      <c r="AC2597" s="5" t="s">
        <v>140</v>
      </c>
      <c r="AD2597" s="5"/>
      <c r="AE2597" s="5" t="s">
        <v>49</v>
      </c>
      <c r="AF2597" s="5"/>
      <c r="AG2597" s="5" t="s">
        <v>11342</v>
      </c>
      <c r="AH2597" s="5" t="s">
        <v>10416</v>
      </c>
    </row>
    <row r="2598" spans="2:34" ht="21" customHeight="1" outlineLevel="4" x14ac:dyDescent="0.2">
      <c r="B2598" s="42">
        <v>2073</v>
      </c>
      <c r="C2598" s="5" t="s">
        <v>11525</v>
      </c>
      <c r="D2598" s="5" t="s">
        <v>11526</v>
      </c>
      <c r="E2598" s="6" t="s">
        <v>11527</v>
      </c>
      <c r="F2598" s="10"/>
      <c r="G2598" s="11" t="s">
        <v>11528</v>
      </c>
      <c r="H2598" s="12">
        <v>40</v>
      </c>
      <c r="I2598" s="13" t="s">
        <v>41</v>
      </c>
      <c r="J2598" s="13"/>
      <c r="K2598" s="13"/>
      <c r="L2598" s="4">
        <v>5</v>
      </c>
      <c r="M2598" s="14">
        <f>127*(1-P3/100)</f>
        <v>127</v>
      </c>
      <c r="N2598" s="15"/>
      <c r="O2598" s="13">
        <f t="shared" si="113"/>
        <v>0</v>
      </c>
      <c r="P2598" s="32">
        <f>0.11*N2598</f>
        <v>0</v>
      </c>
      <c r="Q2598" s="23">
        <f>0.00022*N2598</f>
        <v>0</v>
      </c>
      <c r="R2598" s="24"/>
      <c r="S2598" s="25" t="s">
        <v>11529</v>
      </c>
      <c r="T2598" s="25" t="s">
        <v>43</v>
      </c>
      <c r="U2598" s="5" t="s">
        <v>7952</v>
      </c>
      <c r="V2598" s="5" t="s">
        <v>11530</v>
      </c>
      <c r="W2598" s="5" t="s">
        <v>46</v>
      </c>
      <c r="X2598" s="5"/>
      <c r="Y2598" s="5"/>
      <c r="Z2598" s="5" t="str">
        <f>HYPERLINK("https://knigipp.ru/api/getInfo/image/dc0fb37b-1d95-11ef-a25e-00155d82e908")</f>
        <v>https://knigipp.ru/api/getInfo/image/dc0fb37b-1d95-11ef-a25e-00155d82e908</v>
      </c>
      <c r="AA2598" s="33">
        <v>10</v>
      </c>
      <c r="AB2598" s="5" t="s">
        <v>47</v>
      </c>
      <c r="AC2598" s="5" t="s">
        <v>140</v>
      </c>
      <c r="AD2598" s="5"/>
      <c r="AE2598" s="5" t="s">
        <v>49</v>
      </c>
      <c r="AF2598" s="5"/>
      <c r="AG2598" s="5" t="s">
        <v>11342</v>
      </c>
      <c r="AH2598" s="5" t="s">
        <v>10416</v>
      </c>
    </row>
    <row r="2599" spans="2:34" ht="21" customHeight="1" outlineLevel="4" x14ac:dyDescent="0.2">
      <c r="B2599" s="42">
        <v>2074</v>
      </c>
      <c r="C2599" s="5" t="s">
        <v>11531</v>
      </c>
      <c r="D2599" s="5" t="s">
        <v>11532</v>
      </c>
      <c r="E2599" s="6" t="s">
        <v>11533</v>
      </c>
      <c r="F2599" s="10"/>
      <c r="G2599" s="11" t="s">
        <v>11427</v>
      </c>
      <c r="H2599" s="12">
        <v>40</v>
      </c>
      <c r="I2599" s="13" t="s">
        <v>41</v>
      </c>
      <c r="J2599" s="13"/>
      <c r="K2599" s="13"/>
      <c r="L2599" s="4">
        <v>5</v>
      </c>
      <c r="M2599" s="14">
        <f>127*(1-P3/100)</f>
        <v>127</v>
      </c>
      <c r="N2599" s="15"/>
      <c r="O2599" s="13">
        <f t="shared" si="113"/>
        <v>0</v>
      </c>
      <c r="P2599" s="22">
        <f>0.144*N2599</f>
        <v>0</v>
      </c>
      <c r="Q2599" s="23">
        <f>0.00021*N2599</f>
        <v>0</v>
      </c>
      <c r="R2599" s="24"/>
      <c r="S2599" s="25" t="s">
        <v>11534</v>
      </c>
      <c r="T2599" s="25" t="s">
        <v>43</v>
      </c>
      <c r="U2599" s="5" t="s">
        <v>8583</v>
      </c>
      <c r="V2599" s="5"/>
      <c r="W2599" s="5" t="s">
        <v>46</v>
      </c>
      <c r="X2599" s="5"/>
      <c r="Y2599" s="5"/>
      <c r="Z2599" s="5" t="str">
        <f>HYPERLINK("https://knigipp.ru/api/getInfo/image/2a28b69f-eb66-11ea-a254-ac1f6b442184")</f>
        <v>https://knigipp.ru/api/getInfo/image/2a28b69f-eb66-11ea-a254-ac1f6b442184</v>
      </c>
      <c r="AA2599" s="33">
        <v>10</v>
      </c>
      <c r="AB2599" s="5"/>
      <c r="AC2599" s="5" t="s">
        <v>140</v>
      </c>
      <c r="AD2599" s="5"/>
      <c r="AE2599" s="5" t="s">
        <v>49</v>
      </c>
      <c r="AF2599" s="5"/>
      <c r="AG2599" s="5" t="s">
        <v>11342</v>
      </c>
      <c r="AH2599" s="5" t="s">
        <v>10416</v>
      </c>
    </row>
    <row r="2600" spans="2:34" ht="21" customHeight="1" outlineLevel="4" x14ac:dyDescent="0.2">
      <c r="B2600" s="42">
        <v>2075</v>
      </c>
      <c r="C2600" s="5" t="s">
        <v>11535</v>
      </c>
      <c r="D2600" s="5" t="s">
        <v>11536</v>
      </c>
      <c r="E2600" s="6" t="s">
        <v>11537</v>
      </c>
      <c r="F2600" s="10"/>
      <c r="G2600" s="11" t="s">
        <v>11404</v>
      </c>
      <c r="H2600" s="12">
        <v>40</v>
      </c>
      <c r="I2600" s="13" t="s">
        <v>41</v>
      </c>
      <c r="J2600" s="13"/>
      <c r="K2600" s="13"/>
      <c r="L2600" s="4">
        <v>5</v>
      </c>
      <c r="M2600" s="14">
        <f>127*(1-P3/100)</f>
        <v>127</v>
      </c>
      <c r="N2600" s="15"/>
      <c r="O2600" s="13">
        <f t="shared" si="113"/>
        <v>0</v>
      </c>
      <c r="P2600" s="32">
        <f>0.12*N2600</f>
        <v>0</v>
      </c>
      <c r="Q2600" s="23">
        <f>0.00084*N2600</f>
        <v>0</v>
      </c>
      <c r="R2600" s="24"/>
      <c r="S2600" s="25" t="s">
        <v>11538</v>
      </c>
      <c r="T2600" s="25" t="s">
        <v>43</v>
      </c>
      <c r="U2600" s="5"/>
      <c r="V2600" s="5" t="s">
        <v>11539</v>
      </c>
      <c r="W2600" s="5" t="s">
        <v>46</v>
      </c>
      <c r="X2600" s="5"/>
      <c r="Y2600" s="5"/>
      <c r="Z2600" s="5" t="str">
        <f>HYPERLINK("https://knigipp.ru/api/getInfo/image/8f77867d-0313-11eb-a255-ac1f6b442184")</f>
        <v>https://knigipp.ru/api/getInfo/image/8f77867d-0313-11eb-a255-ac1f6b442184</v>
      </c>
      <c r="AA2600" s="33">
        <v>10</v>
      </c>
      <c r="AB2600" s="5"/>
      <c r="AC2600" s="5" t="s">
        <v>140</v>
      </c>
      <c r="AD2600" s="5"/>
      <c r="AE2600" s="5" t="s">
        <v>49</v>
      </c>
      <c r="AF2600" s="5"/>
      <c r="AG2600" s="5" t="s">
        <v>11342</v>
      </c>
      <c r="AH2600" s="5" t="s">
        <v>10416</v>
      </c>
    </row>
    <row r="2601" spans="2:34" ht="21" customHeight="1" outlineLevel="4" x14ac:dyDescent="0.2">
      <c r="B2601" s="42">
        <v>2076</v>
      </c>
      <c r="C2601" s="5" t="s">
        <v>11540</v>
      </c>
      <c r="D2601" s="5" t="s">
        <v>11541</v>
      </c>
      <c r="E2601" s="6" t="s">
        <v>11542</v>
      </c>
      <c r="F2601" s="10"/>
      <c r="G2601" s="11" t="s">
        <v>11404</v>
      </c>
      <c r="H2601" s="12">
        <v>40</v>
      </c>
      <c r="I2601" s="13" t="s">
        <v>41</v>
      </c>
      <c r="J2601" s="13"/>
      <c r="K2601" s="13"/>
      <c r="L2601" s="4">
        <v>5</v>
      </c>
      <c r="M2601" s="14">
        <f>127*(1-P3/100)</f>
        <v>127</v>
      </c>
      <c r="N2601" s="15"/>
      <c r="O2601" s="13">
        <f t="shared" si="113"/>
        <v>0</v>
      </c>
      <c r="P2601" s="32">
        <f>0.12*N2601</f>
        <v>0</v>
      </c>
      <c r="Q2601" s="23">
        <f>0.00084*N2601</f>
        <v>0</v>
      </c>
      <c r="R2601" s="24"/>
      <c r="S2601" s="25" t="s">
        <v>11543</v>
      </c>
      <c r="T2601" s="25" t="s">
        <v>43</v>
      </c>
      <c r="U2601" s="5"/>
      <c r="V2601" s="5"/>
      <c r="W2601" s="5" t="s">
        <v>46</v>
      </c>
      <c r="X2601" s="5"/>
      <c r="Y2601" s="5"/>
      <c r="Z2601" s="5" t="str">
        <f>HYPERLINK("https://knigipp.ru/api/getInfo/image/77f7a935-03ae-11ee-a23b-00155d82e902")</f>
        <v>https://knigipp.ru/api/getInfo/image/77f7a935-03ae-11ee-a23b-00155d82e902</v>
      </c>
      <c r="AA2601" s="33">
        <v>10</v>
      </c>
      <c r="AB2601" s="5" t="s">
        <v>47</v>
      </c>
      <c r="AC2601" s="5" t="s">
        <v>140</v>
      </c>
      <c r="AD2601" s="5"/>
      <c r="AE2601" s="5" t="s">
        <v>49</v>
      </c>
      <c r="AF2601" s="5"/>
      <c r="AG2601" s="5" t="s">
        <v>11342</v>
      </c>
      <c r="AH2601" s="5" t="s">
        <v>10416</v>
      </c>
    </row>
    <row r="2602" spans="2:34" ht="21" customHeight="1" outlineLevel="4" x14ac:dyDescent="0.2">
      <c r="B2602" s="42">
        <v>2077</v>
      </c>
      <c r="C2602" s="5" t="s">
        <v>11544</v>
      </c>
      <c r="D2602" s="5" t="s">
        <v>11545</v>
      </c>
      <c r="E2602" s="6" t="s">
        <v>11546</v>
      </c>
      <c r="F2602" s="10"/>
      <c r="G2602" s="11" t="s">
        <v>11360</v>
      </c>
      <c r="H2602" s="12">
        <v>40</v>
      </c>
      <c r="I2602" s="13" t="s">
        <v>41</v>
      </c>
      <c r="J2602" s="13"/>
      <c r="K2602" s="13"/>
      <c r="L2602" s="4">
        <v>5</v>
      </c>
      <c r="M2602" s="14">
        <f>127*(1-P3/100)</f>
        <v>127</v>
      </c>
      <c r="N2602" s="15"/>
      <c r="O2602" s="13">
        <f t="shared" si="113"/>
        <v>0</v>
      </c>
      <c r="P2602" s="22">
        <f>0.109*N2602</f>
        <v>0</v>
      </c>
      <c r="Q2602" s="23">
        <f>0.00018*N2602</f>
        <v>0</v>
      </c>
      <c r="R2602" s="24"/>
      <c r="S2602" s="25" t="s">
        <v>11547</v>
      </c>
      <c r="T2602" s="25" t="s">
        <v>43</v>
      </c>
      <c r="U2602" s="5" t="s">
        <v>128</v>
      </c>
      <c r="V2602" s="5"/>
      <c r="W2602" s="5" t="s">
        <v>46</v>
      </c>
      <c r="X2602" s="5"/>
      <c r="Y2602" s="5"/>
      <c r="Z2602" s="5" t="str">
        <f>HYPERLINK("https://knigipp.ru/api/getInfo/image/d485b580-354e-11ef-a261-00155d82e908")</f>
        <v>https://knigipp.ru/api/getInfo/image/d485b580-354e-11ef-a261-00155d82e908</v>
      </c>
      <c r="AA2602" s="33">
        <v>10</v>
      </c>
      <c r="AB2602" s="5"/>
      <c r="AC2602" s="5" t="s">
        <v>140</v>
      </c>
      <c r="AD2602" s="5"/>
      <c r="AE2602" s="5" t="s">
        <v>49</v>
      </c>
      <c r="AF2602" s="5"/>
      <c r="AG2602" s="5" t="s">
        <v>11342</v>
      </c>
      <c r="AH2602" s="5" t="s">
        <v>10416</v>
      </c>
    </row>
    <row r="2603" spans="2:34" ht="21" customHeight="1" outlineLevel="4" x14ac:dyDescent="0.2">
      <c r="B2603" s="42">
        <v>2078</v>
      </c>
      <c r="C2603" s="5" t="s">
        <v>11548</v>
      </c>
      <c r="D2603" s="5" t="s">
        <v>11549</v>
      </c>
      <c r="E2603" s="6" t="s">
        <v>11550</v>
      </c>
      <c r="F2603" s="10"/>
      <c r="G2603" s="11" t="s">
        <v>11523</v>
      </c>
      <c r="H2603" s="12">
        <v>40</v>
      </c>
      <c r="I2603" s="13" t="s">
        <v>41</v>
      </c>
      <c r="J2603" s="13"/>
      <c r="K2603" s="13"/>
      <c r="L2603" s="4">
        <v>5</v>
      </c>
      <c r="M2603" s="14">
        <f>127*(1-P3/100)</f>
        <v>127</v>
      </c>
      <c r="N2603" s="15"/>
      <c r="O2603" s="13">
        <f t="shared" si="113"/>
        <v>0</v>
      </c>
      <c r="P2603" s="22">
        <f>0.144*N2603</f>
        <v>0</v>
      </c>
      <c r="Q2603" s="23">
        <f>0.00021*N2603</f>
        <v>0</v>
      </c>
      <c r="R2603" s="24"/>
      <c r="S2603" s="25" t="s">
        <v>11551</v>
      </c>
      <c r="T2603" s="25" t="s">
        <v>43</v>
      </c>
      <c r="U2603" s="5" t="s">
        <v>8583</v>
      </c>
      <c r="V2603" s="5"/>
      <c r="W2603" s="5" t="s">
        <v>46</v>
      </c>
      <c r="X2603" s="5"/>
      <c r="Y2603" s="5"/>
      <c r="Z2603" s="5" t="str">
        <f>HYPERLINK("https://knigipp.ru/api/getInfo/image/0d37ae6a-33d0-11eb-a25e-ac1f6b442184")</f>
        <v>https://knigipp.ru/api/getInfo/image/0d37ae6a-33d0-11eb-a25e-ac1f6b442184</v>
      </c>
      <c r="AA2603" s="33">
        <v>10</v>
      </c>
      <c r="AB2603" s="5"/>
      <c r="AC2603" s="5" t="s">
        <v>140</v>
      </c>
      <c r="AD2603" s="5"/>
      <c r="AE2603" s="5" t="s">
        <v>49</v>
      </c>
      <c r="AF2603" s="5"/>
      <c r="AG2603" s="5" t="s">
        <v>11342</v>
      </c>
      <c r="AH2603" s="5" t="s">
        <v>10416</v>
      </c>
    </row>
    <row r="2604" spans="2:34" ht="21" customHeight="1" outlineLevel="4" x14ac:dyDescent="0.2">
      <c r="B2604" s="42">
        <v>2079</v>
      </c>
      <c r="C2604" s="5" t="s">
        <v>11552</v>
      </c>
      <c r="D2604" s="5" t="s">
        <v>11553</v>
      </c>
      <c r="E2604" s="6" t="s">
        <v>11554</v>
      </c>
      <c r="F2604" s="10"/>
      <c r="G2604" s="11" t="s">
        <v>11528</v>
      </c>
      <c r="H2604" s="12">
        <v>40</v>
      </c>
      <c r="I2604" s="13" t="s">
        <v>41</v>
      </c>
      <c r="J2604" s="13"/>
      <c r="K2604" s="13"/>
      <c r="L2604" s="4">
        <v>5</v>
      </c>
      <c r="M2604" s="14">
        <f>127*(1-P3/100)</f>
        <v>127</v>
      </c>
      <c r="N2604" s="15"/>
      <c r="O2604" s="13">
        <f t="shared" si="113"/>
        <v>0</v>
      </c>
      <c r="P2604" s="32">
        <f>0.12*N2604</f>
        <v>0</v>
      </c>
      <c r="Q2604" s="23">
        <f>0.00018*N2604</f>
        <v>0</v>
      </c>
      <c r="R2604" s="24"/>
      <c r="S2604" s="25" t="s">
        <v>11555</v>
      </c>
      <c r="T2604" s="25" t="s">
        <v>43</v>
      </c>
      <c r="U2604" s="5" t="s">
        <v>7952</v>
      </c>
      <c r="V2604" s="5" t="s">
        <v>11556</v>
      </c>
      <c r="W2604" s="5" t="s">
        <v>46</v>
      </c>
      <c r="X2604" s="5"/>
      <c r="Y2604" s="5"/>
      <c r="Z2604" s="5" t="str">
        <f>HYPERLINK("https://knigipp.ru/api/getInfo/image/fc3f72c2-1d95-11ef-a25e-00155d82e908")</f>
        <v>https://knigipp.ru/api/getInfo/image/fc3f72c2-1d95-11ef-a25e-00155d82e908</v>
      </c>
      <c r="AA2604" s="33">
        <v>10</v>
      </c>
      <c r="AB2604" s="5" t="s">
        <v>47</v>
      </c>
      <c r="AC2604" s="5" t="s">
        <v>140</v>
      </c>
      <c r="AD2604" s="5"/>
      <c r="AE2604" s="5" t="s">
        <v>49</v>
      </c>
      <c r="AF2604" s="5"/>
      <c r="AG2604" s="5" t="s">
        <v>11342</v>
      </c>
      <c r="AH2604" s="5" t="s">
        <v>10416</v>
      </c>
    </row>
    <row r="2605" spans="2:34" ht="21" customHeight="1" outlineLevel="4" x14ac:dyDescent="0.2">
      <c r="B2605" s="42">
        <v>2080</v>
      </c>
      <c r="C2605" s="5" t="s">
        <v>11557</v>
      </c>
      <c r="D2605" s="5" t="s">
        <v>11558</v>
      </c>
      <c r="E2605" s="6" t="s">
        <v>11559</v>
      </c>
      <c r="F2605" s="10"/>
      <c r="G2605" s="11" t="s">
        <v>11404</v>
      </c>
      <c r="H2605" s="12">
        <v>40</v>
      </c>
      <c r="I2605" s="13" t="s">
        <v>41</v>
      </c>
      <c r="J2605" s="13"/>
      <c r="K2605" s="13"/>
      <c r="L2605" s="4">
        <v>5</v>
      </c>
      <c r="M2605" s="14">
        <f>127*(1-P3/100)</f>
        <v>127</v>
      </c>
      <c r="N2605" s="15"/>
      <c r="O2605" s="13">
        <f t="shared" si="113"/>
        <v>0</v>
      </c>
      <c r="P2605" s="22">
        <f>0.114*N2605</f>
        <v>0</v>
      </c>
      <c r="Q2605" s="23">
        <f>0.00036*N2605</f>
        <v>0</v>
      </c>
      <c r="R2605" s="24"/>
      <c r="S2605" s="25" t="s">
        <v>11560</v>
      </c>
      <c r="T2605" s="25" t="s">
        <v>43</v>
      </c>
      <c r="U2605" s="5"/>
      <c r="V2605" s="5"/>
      <c r="W2605" s="5" t="s">
        <v>46</v>
      </c>
      <c r="X2605" s="5"/>
      <c r="Y2605" s="5"/>
      <c r="Z2605" s="5" t="str">
        <f>HYPERLINK("https://knigipp.ru/api/getInfo/image/4e29d86d-6489-11eb-a26d-ac1f6b442184")</f>
        <v>https://knigipp.ru/api/getInfo/image/4e29d86d-6489-11eb-a26d-ac1f6b442184</v>
      </c>
      <c r="AA2605" s="33">
        <v>10</v>
      </c>
      <c r="AB2605" s="5"/>
      <c r="AC2605" s="5" t="s">
        <v>140</v>
      </c>
      <c r="AD2605" s="5"/>
      <c r="AE2605" s="5" t="s">
        <v>49</v>
      </c>
      <c r="AF2605" s="5"/>
      <c r="AG2605" s="5" t="s">
        <v>11342</v>
      </c>
      <c r="AH2605" s="5" t="s">
        <v>10416</v>
      </c>
    </row>
    <row r="2606" spans="2:34" ht="21" customHeight="1" outlineLevel="4" x14ac:dyDescent="0.2">
      <c r="B2606" s="42">
        <v>2081</v>
      </c>
      <c r="C2606" s="5" t="s">
        <v>11561</v>
      </c>
      <c r="D2606" s="5" t="s">
        <v>11562</v>
      </c>
      <c r="E2606" s="6" t="s">
        <v>11563</v>
      </c>
      <c r="F2606" s="10"/>
      <c r="G2606" s="11" t="s">
        <v>11404</v>
      </c>
      <c r="H2606" s="13"/>
      <c r="I2606" s="13" t="s">
        <v>41</v>
      </c>
      <c r="J2606" s="13"/>
      <c r="K2606" s="13"/>
      <c r="L2606" s="4">
        <v>5</v>
      </c>
      <c r="M2606" s="14">
        <f>127*(1-P3/100)</f>
        <v>127</v>
      </c>
      <c r="N2606" s="15"/>
      <c r="O2606" s="13">
        <f t="shared" si="113"/>
        <v>0</v>
      </c>
      <c r="P2606" s="22">
        <f>0.142*N2606</f>
        <v>0</v>
      </c>
      <c r="Q2606" s="23">
        <f>0.00021*N2606</f>
        <v>0</v>
      </c>
      <c r="R2606" s="24"/>
      <c r="S2606" s="25" t="s">
        <v>11564</v>
      </c>
      <c r="T2606" s="25" t="s">
        <v>43</v>
      </c>
      <c r="U2606" s="5"/>
      <c r="V2606" s="5"/>
      <c r="W2606" s="5" t="s">
        <v>46</v>
      </c>
      <c r="X2606" s="5"/>
      <c r="Y2606" s="5"/>
      <c r="Z2606" s="5" t="str">
        <f>HYPERLINK("https://knigipp.ru/api/getInfo/image/5cf974c6-6483-11eb-a26d-ac1f6b442184")</f>
        <v>https://knigipp.ru/api/getInfo/image/5cf974c6-6483-11eb-a26d-ac1f6b442184</v>
      </c>
      <c r="AA2606" s="33">
        <v>10</v>
      </c>
      <c r="AB2606" s="5"/>
      <c r="AC2606" s="5" t="s">
        <v>140</v>
      </c>
      <c r="AD2606" s="5"/>
      <c r="AE2606" s="5" t="s">
        <v>49</v>
      </c>
      <c r="AF2606" s="5"/>
      <c r="AG2606" s="5" t="s">
        <v>11342</v>
      </c>
      <c r="AH2606" s="5" t="s">
        <v>10416</v>
      </c>
    </row>
    <row r="2607" spans="2:34" ht="21" customHeight="1" outlineLevel="4" x14ac:dyDescent="0.2">
      <c r="B2607" s="42">
        <v>2082</v>
      </c>
      <c r="C2607" s="5" t="s">
        <v>11565</v>
      </c>
      <c r="D2607" s="5" t="s">
        <v>11566</v>
      </c>
      <c r="E2607" s="6" t="s">
        <v>11567</v>
      </c>
      <c r="F2607" s="10"/>
      <c r="G2607" s="11" t="s">
        <v>11404</v>
      </c>
      <c r="H2607" s="12">
        <v>40</v>
      </c>
      <c r="I2607" s="13" t="s">
        <v>41</v>
      </c>
      <c r="J2607" s="13"/>
      <c r="K2607" s="13"/>
      <c r="L2607" s="4">
        <v>5</v>
      </c>
      <c r="M2607" s="14">
        <f>127*(1-P3/100)</f>
        <v>127</v>
      </c>
      <c r="N2607" s="15"/>
      <c r="O2607" s="13">
        <f t="shared" si="113"/>
        <v>0</v>
      </c>
      <c r="P2607" s="22">
        <f>0.142*N2607</f>
        <v>0</v>
      </c>
      <c r="Q2607" s="23">
        <f>0.00021*N2607</f>
        <v>0</v>
      </c>
      <c r="R2607" s="24"/>
      <c r="S2607" s="25" t="s">
        <v>11568</v>
      </c>
      <c r="T2607" s="25" t="s">
        <v>43</v>
      </c>
      <c r="U2607" s="5" t="s">
        <v>9293</v>
      </c>
      <c r="V2607" s="5"/>
      <c r="W2607" s="5" t="s">
        <v>46</v>
      </c>
      <c r="X2607" s="5"/>
      <c r="Y2607" s="5"/>
      <c r="Z2607" s="5" t="str">
        <f>HYPERLINK("https://knigipp.ru/api/getInfo/image/20670d2f-6489-11eb-a26d-ac1f6b442184")</f>
        <v>https://knigipp.ru/api/getInfo/image/20670d2f-6489-11eb-a26d-ac1f6b442184</v>
      </c>
      <c r="AA2607" s="33">
        <v>10</v>
      </c>
      <c r="AB2607" s="5"/>
      <c r="AC2607" s="5" t="s">
        <v>140</v>
      </c>
      <c r="AD2607" s="5"/>
      <c r="AE2607" s="5" t="s">
        <v>49</v>
      </c>
      <c r="AF2607" s="5"/>
      <c r="AG2607" s="5" t="s">
        <v>11342</v>
      </c>
      <c r="AH2607" s="5" t="s">
        <v>10416</v>
      </c>
    </row>
    <row r="2608" spans="2:34" ht="21" customHeight="1" outlineLevel="4" x14ac:dyDescent="0.2">
      <c r="B2608" s="42">
        <v>2083</v>
      </c>
      <c r="C2608" s="5" t="s">
        <v>11569</v>
      </c>
      <c r="D2608" s="5" t="s">
        <v>11570</v>
      </c>
      <c r="E2608" s="6" t="s">
        <v>11571</v>
      </c>
      <c r="F2608" s="10"/>
      <c r="G2608" s="11" t="s">
        <v>11572</v>
      </c>
      <c r="H2608" s="12">
        <v>40</v>
      </c>
      <c r="I2608" s="13" t="s">
        <v>41</v>
      </c>
      <c r="J2608" s="13"/>
      <c r="K2608" s="13"/>
      <c r="L2608" s="4">
        <v>5</v>
      </c>
      <c r="M2608" s="14">
        <f>127*(1-P3/100)</f>
        <v>127</v>
      </c>
      <c r="N2608" s="15"/>
      <c r="O2608" s="13">
        <f t="shared" si="113"/>
        <v>0</v>
      </c>
      <c r="P2608" s="22">
        <f>0.144*N2608</f>
        <v>0</v>
      </c>
      <c r="Q2608" s="23">
        <f>0.00021*N2608</f>
        <v>0</v>
      </c>
      <c r="R2608" s="24"/>
      <c r="S2608" s="25" t="s">
        <v>11573</v>
      </c>
      <c r="T2608" s="25" t="s">
        <v>43</v>
      </c>
      <c r="U2608" s="5" t="s">
        <v>9488</v>
      </c>
      <c r="V2608" s="5"/>
      <c r="W2608" s="5" t="s">
        <v>46</v>
      </c>
      <c r="X2608" s="5"/>
      <c r="Y2608" s="5"/>
      <c r="Z2608" s="5" t="str">
        <f>HYPERLINK("https://knigipp.ru/api/getInfo/image/a286f8f2-7b37-11eb-a275-ac1f6b442184")</f>
        <v>https://knigipp.ru/api/getInfo/image/a286f8f2-7b37-11eb-a275-ac1f6b442184</v>
      </c>
      <c r="AA2608" s="33">
        <v>10</v>
      </c>
      <c r="AB2608" s="5"/>
      <c r="AC2608" s="5" t="s">
        <v>140</v>
      </c>
      <c r="AD2608" s="5"/>
      <c r="AE2608" s="5" t="s">
        <v>49</v>
      </c>
      <c r="AF2608" s="5"/>
      <c r="AG2608" s="5" t="s">
        <v>11342</v>
      </c>
      <c r="AH2608" s="5" t="s">
        <v>10416</v>
      </c>
    </row>
    <row r="2609" spans="2:34" ht="21" customHeight="1" outlineLevel="4" x14ac:dyDescent="0.2">
      <c r="B2609" s="42">
        <v>2084</v>
      </c>
      <c r="C2609" s="5" t="s">
        <v>11574</v>
      </c>
      <c r="D2609" s="5" t="s">
        <v>11575</v>
      </c>
      <c r="E2609" s="6" t="s">
        <v>11576</v>
      </c>
      <c r="F2609" s="10"/>
      <c r="G2609" s="11" t="s">
        <v>11577</v>
      </c>
      <c r="H2609" s="12">
        <v>40</v>
      </c>
      <c r="I2609" s="13" t="s">
        <v>41</v>
      </c>
      <c r="J2609" s="13"/>
      <c r="K2609" s="13"/>
      <c r="L2609" s="4">
        <v>5</v>
      </c>
      <c r="M2609" s="14">
        <f>127*(1-P3/100)</f>
        <v>127</v>
      </c>
      <c r="N2609" s="15"/>
      <c r="O2609" s="13">
        <f t="shared" si="113"/>
        <v>0</v>
      </c>
      <c r="P2609" s="22">
        <f>0.114*N2609</f>
        <v>0</v>
      </c>
      <c r="Q2609" s="23">
        <f>0.00041*N2609</f>
        <v>0</v>
      </c>
      <c r="R2609" s="24"/>
      <c r="S2609" s="25" t="s">
        <v>11578</v>
      </c>
      <c r="T2609" s="25" t="s">
        <v>43</v>
      </c>
      <c r="U2609" s="5" t="s">
        <v>4057</v>
      </c>
      <c r="V2609" s="5"/>
      <c r="W2609" s="5" t="s">
        <v>46</v>
      </c>
      <c r="X2609" s="5"/>
      <c r="Y2609" s="5"/>
      <c r="Z2609" s="5" t="str">
        <f>HYPERLINK("https://knigipp.ru/api/getInfo/image/a9546465-03ac-11ee-a23b-00155d82e902")</f>
        <v>https://knigipp.ru/api/getInfo/image/a9546465-03ac-11ee-a23b-00155d82e902</v>
      </c>
      <c r="AA2609" s="33">
        <v>10</v>
      </c>
      <c r="AB2609" s="5" t="s">
        <v>47</v>
      </c>
      <c r="AC2609" s="5" t="s">
        <v>140</v>
      </c>
      <c r="AD2609" s="5"/>
      <c r="AE2609" s="5" t="s">
        <v>49</v>
      </c>
      <c r="AF2609" s="5"/>
      <c r="AG2609" s="5" t="s">
        <v>11342</v>
      </c>
      <c r="AH2609" s="5" t="s">
        <v>10416</v>
      </c>
    </row>
    <row r="2610" spans="2:34" ht="21" customHeight="1" outlineLevel="4" x14ac:dyDescent="0.2">
      <c r="B2610" s="42">
        <v>2085</v>
      </c>
      <c r="C2610" s="5" t="s">
        <v>11579</v>
      </c>
      <c r="D2610" s="5" t="s">
        <v>11580</v>
      </c>
      <c r="E2610" s="6" t="s">
        <v>11581</v>
      </c>
      <c r="F2610" s="10"/>
      <c r="G2610" s="11" t="s">
        <v>11577</v>
      </c>
      <c r="H2610" s="12">
        <v>40</v>
      </c>
      <c r="I2610" s="13" t="s">
        <v>41</v>
      </c>
      <c r="J2610" s="13"/>
      <c r="K2610" s="13"/>
      <c r="L2610" s="4">
        <v>5</v>
      </c>
      <c r="M2610" s="14">
        <f>127*(1-P3/100)</f>
        <v>127</v>
      </c>
      <c r="N2610" s="15"/>
      <c r="O2610" s="13">
        <f t="shared" si="113"/>
        <v>0</v>
      </c>
      <c r="P2610" s="22">
        <f>0.118*N2610</f>
        <v>0</v>
      </c>
      <c r="Q2610" s="23">
        <f>0.00025*N2610</f>
        <v>0</v>
      </c>
      <c r="R2610" s="24"/>
      <c r="S2610" s="25" t="s">
        <v>11582</v>
      </c>
      <c r="T2610" s="25" t="s">
        <v>43</v>
      </c>
      <c r="U2610" s="5" t="s">
        <v>4057</v>
      </c>
      <c r="V2610" s="5"/>
      <c r="W2610" s="5" t="s">
        <v>46</v>
      </c>
      <c r="X2610" s="5"/>
      <c r="Y2610" s="5"/>
      <c r="Z2610" s="5" t="str">
        <f>HYPERLINK("https://knigipp.ru/api/getInfo/image/0395c87e-03ad-11ee-a23b-00155d82e902")</f>
        <v>https://knigipp.ru/api/getInfo/image/0395c87e-03ad-11ee-a23b-00155d82e902</v>
      </c>
      <c r="AA2610" s="33">
        <v>10</v>
      </c>
      <c r="AB2610" s="5" t="s">
        <v>47</v>
      </c>
      <c r="AC2610" s="5" t="s">
        <v>140</v>
      </c>
      <c r="AD2610" s="5"/>
      <c r="AE2610" s="5" t="s">
        <v>49</v>
      </c>
      <c r="AF2610" s="5"/>
      <c r="AG2610" s="5" t="s">
        <v>11342</v>
      </c>
      <c r="AH2610" s="5" t="s">
        <v>10416</v>
      </c>
    </row>
    <row r="2611" spans="2:34" ht="21" customHeight="1" outlineLevel="4" x14ac:dyDescent="0.2">
      <c r="B2611" s="42">
        <v>2086</v>
      </c>
      <c r="C2611" s="5" t="s">
        <v>11583</v>
      </c>
      <c r="D2611" s="5" t="s">
        <v>11584</v>
      </c>
      <c r="E2611" s="6" t="s">
        <v>11585</v>
      </c>
      <c r="F2611" s="10"/>
      <c r="G2611" s="11" t="s">
        <v>11577</v>
      </c>
      <c r="H2611" s="12">
        <v>40</v>
      </c>
      <c r="I2611" s="13" t="s">
        <v>41</v>
      </c>
      <c r="J2611" s="13"/>
      <c r="K2611" s="13"/>
      <c r="L2611" s="4">
        <v>5</v>
      </c>
      <c r="M2611" s="14">
        <f>127*(1-P3/100)</f>
        <v>127</v>
      </c>
      <c r="N2611" s="15"/>
      <c r="O2611" s="13">
        <f t="shared" si="113"/>
        <v>0</v>
      </c>
      <c r="P2611" s="22">
        <f>0.109*N2611</f>
        <v>0</v>
      </c>
      <c r="Q2611" s="23">
        <f>0.00018*N2611</f>
        <v>0</v>
      </c>
      <c r="R2611" s="24"/>
      <c r="S2611" s="25" t="s">
        <v>11586</v>
      </c>
      <c r="T2611" s="25" t="s">
        <v>43</v>
      </c>
      <c r="U2611" s="5" t="s">
        <v>4057</v>
      </c>
      <c r="V2611" s="5"/>
      <c r="W2611" s="5" t="s">
        <v>46</v>
      </c>
      <c r="X2611" s="5"/>
      <c r="Y2611" s="5"/>
      <c r="Z2611" s="5" t="str">
        <f>HYPERLINK("https://knigipp.ru/api/getInfo/image/e38aa599-03ad-11ee-a23b-00155d82e902")</f>
        <v>https://knigipp.ru/api/getInfo/image/e38aa599-03ad-11ee-a23b-00155d82e902</v>
      </c>
      <c r="AA2611" s="33">
        <v>10</v>
      </c>
      <c r="AB2611" s="5" t="s">
        <v>47</v>
      </c>
      <c r="AC2611" s="5" t="s">
        <v>140</v>
      </c>
      <c r="AD2611" s="5"/>
      <c r="AE2611" s="5" t="s">
        <v>49</v>
      </c>
      <c r="AF2611" s="5"/>
      <c r="AG2611" s="5" t="s">
        <v>11342</v>
      </c>
      <c r="AH2611" s="5" t="s">
        <v>10416</v>
      </c>
    </row>
    <row r="2612" spans="2:34" ht="21" customHeight="1" outlineLevel="4" x14ac:dyDescent="0.2">
      <c r="B2612" s="42">
        <v>2087</v>
      </c>
      <c r="C2612" s="5" t="s">
        <v>11587</v>
      </c>
      <c r="D2612" s="5" t="s">
        <v>11588</v>
      </c>
      <c r="E2612" s="6" t="s">
        <v>11589</v>
      </c>
      <c r="F2612" s="10"/>
      <c r="G2612" s="11" t="s">
        <v>11577</v>
      </c>
      <c r="H2612" s="12">
        <v>40</v>
      </c>
      <c r="I2612" s="13" t="s">
        <v>41</v>
      </c>
      <c r="J2612" s="13"/>
      <c r="K2612" s="13"/>
      <c r="L2612" s="4">
        <v>5</v>
      </c>
      <c r="M2612" s="14">
        <f>127*(1-P3/100)</f>
        <v>127</v>
      </c>
      <c r="N2612" s="15"/>
      <c r="O2612" s="13">
        <f t="shared" si="113"/>
        <v>0</v>
      </c>
      <c r="P2612" s="22">
        <f>0.205*N2612</f>
        <v>0</v>
      </c>
      <c r="Q2612" s="23">
        <f>0.00047*N2612</f>
        <v>0</v>
      </c>
      <c r="R2612" s="24"/>
      <c r="S2612" s="25" t="s">
        <v>11590</v>
      </c>
      <c r="T2612" s="25" t="s">
        <v>43</v>
      </c>
      <c r="U2612" s="5" t="s">
        <v>4057</v>
      </c>
      <c r="V2612" s="5"/>
      <c r="W2612" s="5" t="s">
        <v>46</v>
      </c>
      <c r="X2612" s="5"/>
      <c r="Y2612" s="5"/>
      <c r="Z2612" s="5" t="str">
        <f>HYPERLINK("https://knigipp.ru/api/getInfo/image/035d767f-03ae-11ee-a23b-00155d82e902")</f>
        <v>https://knigipp.ru/api/getInfo/image/035d767f-03ae-11ee-a23b-00155d82e902</v>
      </c>
      <c r="AA2612" s="33">
        <v>10</v>
      </c>
      <c r="AB2612" s="5" t="s">
        <v>47</v>
      </c>
      <c r="AC2612" s="5" t="s">
        <v>140</v>
      </c>
      <c r="AD2612" s="5"/>
      <c r="AE2612" s="5" t="s">
        <v>49</v>
      </c>
      <c r="AF2612" s="5"/>
      <c r="AG2612" s="5" t="s">
        <v>11342</v>
      </c>
      <c r="AH2612" s="5" t="s">
        <v>10416</v>
      </c>
    </row>
    <row r="2613" spans="2:34" ht="21" customHeight="1" outlineLevel="4" x14ac:dyDescent="0.2">
      <c r="B2613" s="42">
        <v>2088</v>
      </c>
      <c r="C2613" s="5" t="s">
        <v>11591</v>
      </c>
      <c r="D2613" s="5" t="s">
        <v>11592</v>
      </c>
      <c r="E2613" s="6" t="s">
        <v>11593</v>
      </c>
      <c r="F2613" s="10"/>
      <c r="G2613" s="11" t="s">
        <v>11577</v>
      </c>
      <c r="H2613" s="12">
        <v>40</v>
      </c>
      <c r="I2613" s="13" t="s">
        <v>41</v>
      </c>
      <c r="J2613" s="13"/>
      <c r="K2613" s="13"/>
      <c r="L2613" s="4">
        <v>5</v>
      </c>
      <c r="M2613" s="14">
        <f>127*(1-P3/100)</f>
        <v>127</v>
      </c>
      <c r="N2613" s="15"/>
      <c r="O2613" s="13">
        <f t="shared" si="113"/>
        <v>0</v>
      </c>
      <c r="P2613" s="22">
        <f>0.109*N2613</f>
        <v>0</v>
      </c>
      <c r="Q2613" s="23">
        <f>0.00018*N2613</f>
        <v>0</v>
      </c>
      <c r="R2613" s="24"/>
      <c r="S2613" s="25" t="s">
        <v>11594</v>
      </c>
      <c r="T2613" s="25" t="s">
        <v>43</v>
      </c>
      <c r="U2613" s="5" t="s">
        <v>4057</v>
      </c>
      <c r="V2613" s="5"/>
      <c r="W2613" s="5" t="s">
        <v>46</v>
      </c>
      <c r="X2613" s="5"/>
      <c r="Y2613" s="5"/>
      <c r="Z2613" s="5" t="str">
        <f>HYPERLINK("https://knigipp.ru/api/getInfo/image/84735bba-7e30-11ee-a248-00155d82e902")</f>
        <v>https://knigipp.ru/api/getInfo/image/84735bba-7e30-11ee-a248-00155d82e902</v>
      </c>
      <c r="AA2613" s="33">
        <v>10</v>
      </c>
      <c r="AB2613" s="5" t="s">
        <v>47</v>
      </c>
      <c r="AC2613" s="5" t="s">
        <v>140</v>
      </c>
      <c r="AD2613" s="5"/>
      <c r="AE2613" s="5" t="s">
        <v>49</v>
      </c>
      <c r="AF2613" s="5"/>
      <c r="AG2613" s="5" t="s">
        <v>11342</v>
      </c>
      <c r="AH2613" s="5" t="s">
        <v>10416</v>
      </c>
    </row>
    <row r="2614" spans="2:34" ht="21" customHeight="1" outlineLevel="4" x14ac:dyDescent="0.2">
      <c r="B2614" s="42">
        <v>2089</v>
      </c>
      <c r="C2614" s="5" t="s">
        <v>11595</v>
      </c>
      <c r="D2614" s="5" t="s">
        <v>11596</v>
      </c>
      <c r="E2614" s="6" t="s">
        <v>11597</v>
      </c>
      <c r="F2614" s="10"/>
      <c r="G2614" s="11" t="s">
        <v>11577</v>
      </c>
      <c r="H2614" s="12">
        <v>40</v>
      </c>
      <c r="I2614" s="13" t="s">
        <v>41</v>
      </c>
      <c r="J2614" s="13"/>
      <c r="K2614" s="13"/>
      <c r="L2614" s="4">
        <v>5</v>
      </c>
      <c r="M2614" s="14">
        <f>127*(1-P3/100)</f>
        <v>127</v>
      </c>
      <c r="N2614" s="15"/>
      <c r="O2614" s="13">
        <f t="shared" si="113"/>
        <v>0</v>
      </c>
      <c r="P2614" s="22">
        <f>0.111*N2614</f>
        <v>0</v>
      </c>
      <c r="Q2614" s="23">
        <f>0.00022*N2614</f>
        <v>0</v>
      </c>
      <c r="R2614" s="24"/>
      <c r="S2614" s="25" t="s">
        <v>11598</v>
      </c>
      <c r="T2614" s="25" t="s">
        <v>43</v>
      </c>
      <c r="U2614" s="5" t="s">
        <v>4057</v>
      </c>
      <c r="V2614" s="5"/>
      <c r="W2614" s="5" t="s">
        <v>46</v>
      </c>
      <c r="X2614" s="5"/>
      <c r="Y2614" s="5"/>
      <c r="Z2614" s="5" t="str">
        <f>HYPERLINK("https://knigipp.ru/api/getInfo/image/d44603df-03ac-11ee-a23b-00155d82e902")</f>
        <v>https://knigipp.ru/api/getInfo/image/d44603df-03ac-11ee-a23b-00155d82e902</v>
      </c>
      <c r="AA2614" s="33">
        <v>10</v>
      </c>
      <c r="AB2614" s="5" t="s">
        <v>47</v>
      </c>
      <c r="AC2614" s="5" t="s">
        <v>140</v>
      </c>
      <c r="AD2614" s="5"/>
      <c r="AE2614" s="5" t="s">
        <v>49</v>
      </c>
      <c r="AF2614" s="5"/>
      <c r="AG2614" s="5" t="s">
        <v>11342</v>
      </c>
      <c r="AH2614" s="5" t="s">
        <v>10416</v>
      </c>
    </row>
    <row r="2615" spans="2:34" ht="21" customHeight="1" outlineLevel="4" x14ac:dyDescent="0.2">
      <c r="B2615" s="42">
        <v>2090</v>
      </c>
      <c r="C2615" s="5" t="s">
        <v>11599</v>
      </c>
      <c r="D2615" s="5" t="s">
        <v>11600</v>
      </c>
      <c r="E2615" s="6" t="s">
        <v>11601</v>
      </c>
      <c r="F2615" s="10"/>
      <c r="G2615" s="11" t="s">
        <v>11577</v>
      </c>
      <c r="H2615" s="12">
        <v>40</v>
      </c>
      <c r="I2615" s="13" t="s">
        <v>41</v>
      </c>
      <c r="J2615" s="13"/>
      <c r="K2615" s="13"/>
      <c r="L2615" s="4">
        <v>5</v>
      </c>
      <c r="M2615" s="14">
        <f>127*(1-P3/100)</f>
        <v>127</v>
      </c>
      <c r="N2615" s="15"/>
      <c r="O2615" s="13">
        <f t="shared" si="113"/>
        <v>0</v>
      </c>
      <c r="P2615" s="22">
        <f>0.113*N2615</f>
        <v>0</v>
      </c>
      <c r="Q2615" s="23">
        <f>0.00037*N2615</f>
        <v>0</v>
      </c>
      <c r="R2615" s="24"/>
      <c r="S2615" s="25" t="s">
        <v>11602</v>
      </c>
      <c r="T2615" s="25" t="s">
        <v>43</v>
      </c>
      <c r="U2615" s="5" t="s">
        <v>4057</v>
      </c>
      <c r="V2615" s="5"/>
      <c r="W2615" s="5" t="s">
        <v>46</v>
      </c>
      <c r="X2615" s="5"/>
      <c r="Y2615" s="5"/>
      <c r="Z2615" s="5" t="str">
        <f>HYPERLINK("https://knigipp.ru/api/getInfo/image/307f52b6-03ae-11ee-a23b-00155d82e902")</f>
        <v>https://knigipp.ru/api/getInfo/image/307f52b6-03ae-11ee-a23b-00155d82e902</v>
      </c>
      <c r="AA2615" s="33">
        <v>10</v>
      </c>
      <c r="AB2615" s="5" t="s">
        <v>47</v>
      </c>
      <c r="AC2615" s="5" t="s">
        <v>140</v>
      </c>
      <c r="AD2615" s="5"/>
      <c r="AE2615" s="5" t="s">
        <v>49</v>
      </c>
      <c r="AF2615" s="5"/>
      <c r="AG2615" s="5" t="s">
        <v>11342</v>
      </c>
      <c r="AH2615" s="5" t="s">
        <v>10416</v>
      </c>
    </row>
    <row r="2616" spans="2:34" ht="21" customHeight="1" outlineLevel="4" x14ac:dyDescent="0.2">
      <c r="B2616" s="42">
        <v>2091</v>
      </c>
      <c r="C2616" s="5" t="s">
        <v>11603</v>
      </c>
      <c r="D2616" s="5" t="s">
        <v>11604</v>
      </c>
      <c r="E2616" s="6" t="s">
        <v>11605</v>
      </c>
      <c r="F2616" s="10"/>
      <c r="G2616" s="11" t="s">
        <v>11577</v>
      </c>
      <c r="H2616" s="12">
        <v>40</v>
      </c>
      <c r="I2616" s="13" t="s">
        <v>41</v>
      </c>
      <c r="J2616" s="13"/>
      <c r="K2616" s="13"/>
      <c r="L2616" s="4">
        <v>5</v>
      </c>
      <c r="M2616" s="14">
        <f>127*(1-P3/100)</f>
        <v>127</v>
      </c>
      <c r="N2616" s="15"/>
      <c r="O2616" s="13">
        <f t="shared" si="113"/>
        <v>0</v>
      </c>
      <c r="P2616" s="22">
        <f>0.109*N2616</f>
        <v>0</v>
      </c>
      <c r="Q2616" s="23">
        <f>0.00018*N2616</f>
        <v>0</v>
      </c>
      <c r="R2616" s="24"/>
      <c r="S2616" s="25" t="s">
        <v>11606</v>
      </c>
      <c r="T2616" s="25" t="s">
        <v>43</v>
      </c>
      <c r="U2616" s="5" t="s">
        <v>4057</v>
      </c>
      <c r="V2616" s="5"/>
      <c r="W2616" s="5" t="s">
        <v>46</v>
      </c>
      <c r="X2616" s="5"/>
      <c r="Y2616" s="5"/>
      <c r="Z2616" s="5" t="str">
        <f>HYPERLINK("https://knigipp.ru/api/getInfo/image/7704e8cd-03ac-11ee-a23b-00155d82e902")</f>
        <v>https://knigipp.ru/api/getInfo/image/7704e8cd-03ac-11ee-a23b-00155d82e902</v>
      </c>
      <c r="AA2616" s="33">
        <v>10</v>
      </c>
      <c r="AB2616" s="5" t="s">
        <v>47</v>
      </c>
      <c r="AC2616" s="5" t="s">
        <v>140</v>
      </c>
      <c r="AD2616" s="5"/>
      <c r="AE2616" s="5" t="s">
        <v>49</v>
      </c>
      <c r="AF2616" s="5"/>
      <c r="AG2616" s="5" t="s">
        <v>11342</v>
      </c>
      <c r="AH2616" s="5" t="s">
        <v>10416</v>
      </c>
    </row>
    <row r="2617" spans="2:34" ht="21" customHeight="1" outlineLevel="4" x14ac:dyDescent="0.2">
      <c r="B2617" s="42">
        <v>2092</v>
      </c>
      <c r="C2617" s="5" t="s">
        <v>11607</v>
      </c>
      <c r="D2617" s="5" t="s">
        <v>11608</v>
      </c>
      <c r="E2617" s="6" t="s">
        <v>11609</v>
      </c>
      <c r="F2617" s="10"/>
      <c r="G2617" s="11"/>
      <c r="H2617" s="12">
        <v>40</v>
      </c>
      <c r="I2617" s="13" t="s">
        <v>41</v>
      </c>
      <c r="J2617" s="13"/>
      <c r="K2617" s="13"/>
      <c r="L2617" s="4">
        <v>5</v>
      </c>
      <c r="M2617" s="14">
        <f>127*(1-P3/100)</f>
        <v>127</v>
      </c>
      <c r="N2617" s="15"/>
      <c r="O2617" s="13">
        <f t="shared" si="113"/>
        <v>0</v>
      </c>
      <c r="P2617" s="22">
        <f>0.043*N2617</f>
        <v>0</v>
      </c>
      <c r="Q2617" s="23">
        <f>0.00009*N2617</f>
        <v>0</v>
      </c>
      <c r="R2617" s="24"/>
      <c r="S2617" s="25" t="s">
        <v>11610</v>
      </c>
      <c r="T2617" s="25" t="s">
        <v>43</v>
      </c>
      <c r="U2617" s="5"/>
      <c r="V2617" s="5" t="s">
        <v>11611</v>
      </c>
      <c r="W2617" s="5" t="s">
        <v>46</v>
      </c>
      <c r="X2617" s="5"/>
      <c r="Y2617" s="5"/>
      <c r="Z2617" s="5" t="str">
        <f>HYPERLINK("https://knigipp.ru/api/getInfo/image/c34e4c3e-74f3-11ef-a265-00155d82e908")</f>
        <v>https://knigipp.ru/api/getInfo/image/c34e4c3e-74f3-11ef-a265-00155d82e908</v>
      </c>
      <c r="AA2617" s="33">
        <v>10</v>
      </c>
      <c r="AB2617" s="5"/>
      <c r="AC2617" s="5" t="s">
        <v>140</v>
      </c>
      <c r="AD2617" s="5"/>
      <c r="AE2617" s="5" t="s">
        <v>49</v>
      </c>
      <c r="AF2617" s="5"/>
      <c r="AG2617" s="5"/>
      <c r="AH2617" s="5" t="s">
        <v>2624</v>
      </c>
    </row>
    <row r="2618" spans="2:34" ht="21" customHeight="1" outlineLevel="4" x14ac:dyDescent="0.2">
      <c r="B2618" s="42">
        <v>2093</v>
      </c>
      <c r="C2618" s="5" t="s">
        <v>11612</v>
      </c>
      <c r="D2618" s="5" t="s">
        <v>11613</v>
      </c>
      <c r="E2618" s="6" t="s">
        <v>11614</v>
      </c>
      <c r="F2618" s="10"/>
      <c r="G2618" s="11"/>
      <c r="H2618" s="12">
        <v>40</v>
      </c>
      <c r="I2618" s="13" t="s">
        <v>41</v>
      </c>
      <c r="J2618" s="13"/>
      <c r="K2618" s="13"/>
      <c r="L2618" s="4">
        <v>5</v>
      </c>
      <c r="M2618" s="14">
        <f>127*(1-P3/100)</f>
        <v>127</v>
      </c>
      <c r="N2618" s="15"/>
      <c r="O2618" s="13">
        <f t="shared" si="113"/>
        <v>0</v>
      </c>
      <c r="P2618" s="22">
        <f>0.117*N2618</f>
        <v>0</v>
      </c>
      <c r="Q2618" s="23">
        <f>0.00015*N2618</f>
        <v>0</v>
      </c>
      <c r="R2618" s="24"/>
      <c r="S2618" s="25" t="s">
        <v>11615</v>
      </c>
      <c r="T2618" s="25" t="s">
        <v>43</v>
      </c>
      <c r="U2618" s="5"/>
      <c r="V2618" s="5" t="s">
        <v>11616</v>
      </c>
      <c r="W2618" s="5" t="s">
        <v>46</v>
      </c>
      <c r="X2618" s="5"/>
      <c r="Y2618" s="5"/>
      <c r="Z2618" s="5" t="str">
        <f>HYPERLINK("https://knigipp.ru/api/getInfo/image/a2b55e07-74f3-11ef-a265-00155d82e908")</f>
        <v>https://knigipp.ru/api/getInfo/image/a2b55e07-74f3-11ef-a265-00155d82e908</v>
      </c>
      <c r="AA2618" s="33">
        <v>10</v>
      </c>
      <c r="AB2618" s="5"/>
      <c r="AC2618" s="5" t="s">
        <v>140</v>
      </c>
      <c r="AD2618" s="5"/>
      <c r="AE2618" s="5" t="s">
        <v>49</v>
      </c>
      <c r="AF2618" s="5"/>
      <c r="AG2618" s="5"/>
      <c r="AH2618" s="5" t="s">
        <v>2624</v>
      </c>
    </row>
    <row r="2619" spans="2:34" ht="21" customHeight="1" outlineLevel="4" x14ac:dyDescent="0.2">
      <c r="B2619" s="42">
        <v>2094</v>
      </c>
      <c r="C2619" s="5" t="s">
        <v>11617</v>
      </c>
      <c r="D2619" s="5" t="s">
        <v>11618</v>
      </c>
      <c r="E2619" s="6" t="s">
        <v>11619</v>
      </c>
      <c r="F2619" s="10"/>
      <c r="G2619" s="11" t="s">
        <v>11404</v>
      </c>
      <c r="H2619" s="12">
        <v>40</v>
      </c>
      <c r="I2619" s="13" t="s">
        <v>41</v>
      </c>
      <c r="J2619" s="13"/>
      <c r="K2619" s="13"/>
      <c r="L2619" s="4">
        <v>5</v>
      </c>
      <c r="M2619" s="14">
        <f>127*(1-P3/100)</f>
        <v>127</v>
      </c>
      <c r="N2619" s="15"/>
      <c r="O2619" s="13">
        <f t="shared" si="113"/>
        <v>0</v>
      </c>
      <c r="P2619" s="22">
        <f>0.143*N2619</f>
        <v>0</v>
      </c>
      <c r="Q2619" s="23">
        <f>0.00021*N2619</f>
        <v>0</v>
      </c>
      <c r="R2619" s="24"/>
      <c r="S2619" s="25" t="s">
        <v>11620</v>
      </c>
      <c r="T2619" s="25" t="s">
        <v>43</v>
      </c>
      <c r="U2619" s="5"/>
      <c r="V2619" s="5"/>
      <c r="W2619" s="5" t="s">
        <v>46</v>
      </c>
      <c r="X2619" s="5"/>
      <c r="Y2619" s="5"/>
      <c r="Z2619" s="5" t="str">
        <f>HYPERLINK("https://knigipp.ru/api/getInfo/image/938e1574-99d7-11ea-a248-ac1f6b442184")</f>
        <v>https://knigipp.ru/api/getInfo/image/938e1574-99d7-11ea-a248-ac1f6b442184</v>
      </c>
      <c r="AA2619" s="33">
        <v>10</v>
      </c>
      <c r="AB2619" s="5"/>
      <c r="AC2619" s="5" t="s">
        <v>140</v>
      </c>
      <c r="AD2619" s="5"/>
      <c r="AE2619" s="5" t="s">
        <v>49</v>
      </c>
      <c r="AF2619" s="5"/>
      <c r="AG2619" s="5" t="s">
        <v>11342</v>
      </c>
      <c r="AH2619" s="5" t="s">
        <v>10416</v>
      </c>
    </row>
    <row r="2620" spans="2:34" ht="21" customHeight="1" outlineLevel="4" x14ac:dyDescent="0.2">
      <c r="B2620" s="42">
        <v>2095</v>
      </c>
      <c r="C2620" s="5" t="s">
        <v>11621</v>
      </c>
      <c r="D2620" s="5" t="s">
        <v>11622</v>
      </c>
      <c r="E2620" s="6" t="s">
        <v>11623</v>
      </c>
      <c r="F2620" s="10"/>
      <c r="G2620" s="11" t="s">
        <v>11404</v>
      </c>
      <c r="H2620" s="12">
        <v>40</v>
      </c>
      <c r="I2620" s="13" t="s">
        <v>41</v>
      </c>
      <c r="J2620" s="13"/>
      <c r="K2620" s="13"/>
      <c r="L2620" s="4">
        <v>5</v>
      </c>
      <c r="M2620" s="14">
        <f>127*(1-P3/100)</f>
        <v>127</v>
      </c>
      <c r="N2620" s="15"/>
      <c r="O2620" s="13">
        <f t="shared" si="113"/>
        <v>0</v>
      </c>
      <c r="P2620" s="22">
        <f>0.115*N2620</f>
        <v>0</v>
      </c>
      <c r="Q2620" s="23">
        <f>0.00037*N2620</f>
        <v>0</v>
      </c>
      <c r="R2620" s="24"/>
      <c r="S2620" s="25" t="s">
        <v>11624</v>
      </c>
      <c r="T2620" s="25" t="s">
        <v>43</v>
      </c>
      <c r="U2620" s="5"/>
      <c r="V2620" s="5"/>
      <c r="W2620" s="5" t="s">
        <v>46</v>
      </c>
      <c r="X2620" s="5"/>
      <c r="Y2620" s="5"/>
      <c r="Z2620" s="5" t="str">
        <f>HYPERLINK("https://knigipp.ru/api/getInfo/image/b04073e7-99d7-11ea-a248-ac1f6b442184")</f>
        <v>https://knigipp.ru/api/getInfo/image/b04073e7-99d7-11ea-a248-ac1f6b442184</v>
      </c>
      <c r="AA2620" s="33">
        <v>10</v>
      </c>
      <c r="AB2620" s="5"/>
      <c r="AC2620" s="5" t="s">
        <v>140</v>
      </c>
      <c r="AD2620" s="5"/>
      <c r="AE2620" s="5" t="s">
        <v>49</v>
      </c>
      <c r="AF2620" s="5"/>
      <c r="AG2620" s="5" t="s">
        <v>11342</v>
      </c>
      <c r="AH2620" s="5" t="s">
        <v>10416</v>
      </c>
    </row>
    <row r="2621" spans="2:34" ht="21" customHeight="1" outlineLevel="4" x14ac:dyDescent="0.2">
      <c r="B2621" s="42">
        <v>2096</v>
      </c>
      <c r="C2621" s="5" t="s">
        <v>11625</v>
      </c>
      <c r="D2621" s="5" t="s">
        <v>11626</v>
      </c>
      <c r="E2621" s="6" t="s">
        <v>11627</v>
      </c>
      <c r="F2621" s="10"/>
      <c r="G2621" s="11" t="s">
        <v>11360</v>
      </c>
      <c r="H2621" s="12">
        <v>40</v>
      </c>
      <c r="I2621" s="13" t="s">
        <v>41</v>
      </c>
      <c r="J2621" s="13"/>
      <c r="K2621" s="13"/>
      <c r="L2621" s="4">
        <v>5</v>
      </c>
      <c r="M2621" s="14">
        <f>127*(1-P3/100)</f>
        <v>127</v>
      </c>
      <c r="N2621" s="15"/>
      <c r="O2621" s="13">
        <f t="shared" si="113"/>
        <v>0</v>
      </c>
      <c r="P2621" s="22">
        <f>0.109*N2621</f>
        <v>0</v>
      </c>
      <c r="Q2621" s="23">
        <f>0.00018*N2621</f>
        <v>0</v>
      </c>
      <c r="R2621" s="24"/>
      <c r="S2621" s="25" t="s">
        <v>11628</v>
      </c>
      <c r="T2621" s="25" t="s">
        <v>43</v>
      </c>
      <c r="U2621" s="5" t="s">
        <v>128</v>
      </c>
      <c r="V2621" s="5"/>
      <c r="W2621" s="5" t="s">
        <v>46</v>
      </c>
      <c r="X2621" s="5"/>
      <c r="Y2621" s="5"/>
      <c r="Z2621" s="5" t="str">
        <f>HYPERLINK("https://knigipp.ru/api/getInfo/image/091d60a6-354f-11ef-a261-00155d82e908")</f>
        <v>https://knigipp.ru/api/getInfo/image/091d60a6-354f-11ef-a261-00155d82e908</v>
      </c>
      <c r="AA2621" s="33">
        <v>10</v>
      </c>
      <c r="AB2621" s="5" t="s">
        <v>47</v>
      </c>
      <c r="AC2621" s="5" t="s">
        <v>140</v>
      </c>
      <c r="AD2621" s="5"/>
      <c r="AE2621" s="5" t="s">
        <v>49</v>
      </c>
      <c r="AF2621" s="5"/>
      <c r="AG2621" s="5" t="s">
        <v>11342</v>
      </c>
      <c r="AH2621" s="5" t="s">
        <v>10416</v>
      </c>
    </row>
    <row r="2622" spans="2:34" ht="21" customHeight="1" outlineLevel="4" x14ac:dyDescent="0.2">
      <c r="B2622" s="42">
        <v>2097</v>
      </c>
      <c r="C2622" s="5" t="s">
        <v>11629</v>
      </c>
      <c r="D2622" s="5" t="s">
        <v>11630</v>
      </c>
      <c r="E2622" s="6" t="s">
        <v>11631</v>
      </c>
      <c r="F2622" s="10"/>
      <c r="G2622" s="11" t="s">
        <v>11632</v>
      </c>
      <c r="H2622" s="12">
        <v>40</v>
      </c>
      <c r="I2622" s="13" t="s">
        <v>41</v>
      </c>
      <c r="J2622" s="13"/>
      <c r="K2622" s="13"/>
      <c r="L2622" s="4">
        <v>5</v>
      </c>
      <c r="M2622" s="14">
        <f>127*(1-P3/100)</f>
        <v>127</v>
      </c>
      <c r="N2622" s="15"/>
      <c r="O2622" s="13">
        <f t="shared" ref="O2622:O2664" si="114">M2622*N2622</f>
        <v>0</v>
      </c>
      <c r="P2622" s="22">
        <f>0.109*N2622</f>
        <v>0</v>
      </c>
      <c r="Q2622" s="30">
        <f>0.0003*N2622</f>
        <v>0</v>
      </c>
      <c r="R2622" s="24"/>
      <c r="S2622" s="25" t="s">
        <v>11633</v>
      </c>
      <c r="T2622" s="25" t="s">
        <v>43</v>
      </c>
      <c r="U2622" s="5"/>
      <c r="V2622" s="5" t="s">
        <v>11634</v>
      </c>
      <c r="W2622" s="5" t="s">
        <v>46</v>
      </c>
      <c r="X2622" s="5"/>
      <c r="Y2622" s="5"/>
      <c r="Z2622" s="5" t="str">
        <f>HYPERLINK("https://knigipp.ru/api/getInfo/image/d1fa3f5b-48eb-11ef-a262-00155d82e908")</f>
        <v>https://knigipp.ru/api/getInfo/image/d1fa3f5b-48eb-11ef-a262-00155d82e908</v>
      </c>
      <c r="AA2622" s="33">
        <v>10</v>
      </c>
      <c r="AB2622" s="5" t="s">
        <v>47</v>
      </c>
      <c r="AC2622" s="5" t="s">
        <v>140</v>
      </c>
      <c r="AD2622" s="5"/>
      <c r="AE2622" s="5" t="s">
        <v>49</v>
      </c>
      <c r="AF2622" s="5"/>
      <c r="AG2622" s="5" t="s">
        <v>11342</v>
      </c>
      <c r="AH2622" s="5" t="s">
        <v>10416</v>
      </c>
    </row>
    <row r="2623" spans="2:34" ht="21" customHeight="1" outlineLevel="4" x14ac:dyDescent="0.2">
      <c r="B2623" s="42">
        <v>2098</v>
      </c>
      <c r="C2623" s="5" t="s">
        <v>11635</v>
      </c>
      <c r="D2623" s="5" t="s">
        <v>11636</v>
      </c>
      <c r="E2623" s="6" t="s">
        <v>11637</v>
      </c>
      <c r="F2623" s="10"/>
      <c r="G2623" s="11" t="s">
        <v>11632</v>
      </c>
      <c r="H2623" s="12">
        <v>40</v>
      </c>
      <c r="I2623" s="13" t="s">
        <v>41</v>
      </c>
      <c r="J2623" s="13"/>
      <c r="K2623" s="13"/>
      <c r="L2623" s="4">
        <v>5</v>
      </c>
      <c r="M2623" s="14">
        <f>127*(1-P3/100)</f>
        <v>127</v>
      </c>
      <c r="N2623" s="15"/>
      <c r="O2623" s="13">
        <f t="shared" si="114"/>
        <v>0</v>
      </c>
      <c r="P2623" s="22">
        <f>0.112*N2623</f>
        <v>0</v>
      </c>
      <c r="Q2623" s="23">
        <f>0.00015*N2623</f>
        <v>0</v>
      </c>
      <c r="R2623" s="24"/>
      <c r="S2623" s="25" t="s">
        <v>11638</v>
      </c>
      <c r="T2623" s="25" t="s">
        <v>43</v>
      </c>
      <c r="U2623" s="5"/>
      <c r="V2623" s="5" t="s">
        <v>11639</v>
      </c>
      <c r="W2623" s="5" t="s">
        <v>46</v>
      </c>
      <c r="X2623" s="5"/>
      <c r="Y2623" s="5"/>
      <c r="Z2623" s="5" t="str">
        <f>HYPERLINK("https://knigipp.ru/api/getInfo/image/fcb50919-48eb-11ef-a262-00155d82e908")</f>
        <v>https://knigipp.ru/api/getInfo/image/fcb50919-48eb-11ef-a262-00155d82e908</v>
      </c>
      <c r="AA2623" s="33">
        <v>10</v>
      </c>
      <c r="AB2623" s="5" t="s">
        <v>47</v>
      </c>
      <c r="AC2623" s="5" t="s">
        <v>140</v>
      </c>
      <c r="AD2623" s="5"/>
      <c r="AE2623" s="5" t="s">
        <v>49</v>
      </c>
      <c r="AF2623" s="5"/>
      <c r="AG2623" s="5" t="s">
        <v>11342</v>
      </c>
      <c r="AH2623" s="5" t="s">
        <v>10416</v>
      </c>
    </row>
    <row r="2624" spans="2:34" ht="21" customHeight="1" outlineLevel="4" x14ac:dyDescent="0.2">
      <c r="B2624" s="42">
        <v>2099</v>
      </c>
      <c r="C2624" s="5" t="s">
        <v>11640</v>
      </c>
      <c r="D2624" s="5" t="s">
        <v>11641</v>
      </c>
      <c r="E2624" s="6" t="s">
        <v>11642</v>
      </c>
      <c r="F2624" s="10"/>
      <c r="G2624" s="11" t="s">
        <v>11404</v>
      </c>
      <c r="H2624" s="12">
        <v>40</v>
      </c>
      <c r="I2624" s="13" t="s">
        <v>41</v>
      </c>
      <c r="J2624" s="13"/>
      <c r="K2624" s="13"/>
      <c r="L2624" s="4">
        <v>5</v>
      </c>
      <c r="M2624" s="14">
        <f>127*(1-P3/100)</f>
        <v>127</v>
      </c>
      <c r="N2624" s="15"/>
      <c r="O2624" s="13">
        <f t="shared" si="114"/>
        <v>0</v>
      </c>
      <c r="P2624" s="22">
        <f>0.113*N2624</f>
        <v>0</v>
      </c>
      <c r="Q2624" s="23">
        <f>0.00037*N2624</f>
        <v>0</v>
      </c>
      <c r="R2624" s="24"/>
      <c r="S2624" s="25" t="s">
        <v>11643</v>
      </c>
      <c r="T2624" s="25" t="s">
        <v>43</v>
      </c>
      <c r="U2624" s="5"/>
      <c r="V2624" s="5"/>
      <c r="W2624" s="5" t="s">
        <v>46</v>
      </c>
      <c r="X2624" s="5"/>
      <c r="Y2624" s="5"/>
      <c r="Z2624" s="5" t="str">
        <f>HYPERLINK("https://knigipp.ru/api/getInfo/image/69b8eb0a-9df1-11eb-a201-ac1f6b442185")</f>
        <v>https://knigipp.ru/api/getInfo/image/69b8eb0a-9df1-11eb-a201-ac1f6b442185</v>
      </c>
      <c r="AA2624" s="33">
        <v>10</v>
      </c>
      <c r="AB2624" s="5"/>
      <c r="AC2624" s="5" t="s">
        <v>140</v>
      </c>
      <c r="AD2624" s="5"/>
      <c r="AE2624" s="5" t="s">
        <v>49</v>
      </c>
      <c r="AF2624" s="5"/>
      <c r="AG2624" s="5" t="s">
        <v>11342</v>
      </c>
      <c r="AH2624" s="5" t="s">
        <v>10416</v>
      </c>
    </row>
    <row r="2625" spans="2:35" ht="21" customHeight="1" outlineLevel="4" x14ac:dyDescent="0.2">
      <c r="B2625" s="42">
        <v>2100</v>
      </c>
      <c r="C2625" s="5" t="s">
        <v>11644</v>
      </c>
      <c r="D2625" s="5" t="s">
        <v>11645</v>
      </c>
      <c r="E2625" s="6" t="s">
        <v>11646</v>
      </c>
      <c r="F2625" s="10"/>
      <c r="G2625" s="11"/>
      <c r="H2625" s="12">
        <v>40</v>
      </c>
      <c r="I2625" s="13" t="s">
        <v>41</v>
      </c>
      <c r="J2625" s="13"/>
      <c r="K2625" s="13"/>
      <c r="L2625" s="4">
        <v>5</v>
      </c>
      <c r="M2625" s="14">
        <f>127*(1-P3/100)</f>
        <v>127</v>
      </c>
      <c r="N2625" s="15"/>
      <c r="O2625" s="13">
        <f t="shared" si="114"/>
        <v>0</v>
      </c>
      <c r="P2625" s="22">
        <f>0.118*N2625</f>
        <v>0</v>
      </c>
      <c r="Q2625" s="23">
        <f>0.00015*N2625</f>
        <v>0</v>
      </c>
      <c r="R2625" s="24"/>
      <c r="S2625" s="25" t="s">
        <v>11647</v>
      </c>
      <c r="T2625" s="25" t="s">
        <v>43</v>
      </c>
      <c r="U2625" s="5"/>
      <c r="V2625" s="5" t="s">
        <v>11648</v>
      </c>
      <c r="W2625" s="5" t="s">
        <v>46</v>
      </c>
      <c r="X2625" s="5"/>
      <c r="Y2625" s="5"/>
      <c r="Z2625" s="5" t="str">
        <f>HYPERLINK("https://knigipp.ru/api/getInfo/image/7fe8ebe6-74f4-11ef-a265-00155d82e908")</f>
        <v>https://knigipp.ru/api/getInfo/image/7fe8ebe6-74f4-11ef-a265-00155d82e908</v>
      </c>
      <c r="AA2625" s="33">
        <v>10</v>
      </c>
      <c r="AB2625" s="5"/>
      <c r="AC2625" s="5" t="s">
        <v>140</v>
      </c>
      <c r="AD2625" s="5"/>
      <c r="AE2625" s="5" t="s">
        <v>49</v>
      </c>
      <c r="AF2625" s="5"/>
      <c r="AG2625" s="5"/>
      <c r="AH2625" s="5" t="s">
        <v>2624</v>
      </c>
    </row>
    <row r="2626" spans="2:35" ht="21" customHeight="1" outlineLevel="4" x14ac:dyDescent="0.2">
      <c r="B2626" s="42">
        <v>2101</v>
      </c>
      <c r="C2626" s="5" t="s">
        <v>11649</v>
      </c>
      <c r="D2626" s="5" t="s">
        <v>11650</v>
      </c>
      <c r="E2626" s="6" t="s">
        <v>11651</v>
      </c>
      <c r="F2626" s="10"/>
      <c r="G2626" s="11" t="s">
        <v>11404</v>
      </c>
      <c r="H2626" s="12">
        <v>40</v>
      </c>
      <c r="I2626" s="13" t="s">
        <v>41</v>
      </c>
      <c r="J2626" s="13"/>
      <c r="K2626" s="13"/>
      <c r="L2626" s="4">
        <v>5</v>
      </c>
      <c r="M2626" s="14">
        <f>127*(1-P3/100)</f>
        <v>127</v>
      </c>
      <c r="N2626" s="15"/>
      <c r="O2626" s="13">
        <f t="shared" si="114"/>
        <v>0</v>
      </c>
      <c r="P2626" s="32">
        <f>0.11*N2626</f>
        <v>0</v>
      </c>
      <c r="Q2626" s="23">
        <f>0.00026*N2626</f>
        <v>0</v>
      </c>
      <c r="R2626" s="24"/>
      <c r="S2626" s="25" t="s">
        <v>11652</v>
      </c>
      <c r="T2626" s="25" t="s">
        <v>43</v>
      </c>
      <c r="U2626" s="5"/>
      <c r="V2626" s="5"/>
      <c r="W2626" s="5" t="s">
        <v>46</v>
      </c>
      <c r="X2626" s="5"/>
      <c r="Y2626" s="5"/>
      <c r="Z2626" s="5" t="str">
        <f>HYPERLINK("https://knigipp.ru/api/getInfo/image/db340343-9def-11eb-a201-ac1f6b442185")</f>
        <v>https://knigipp.ru/api/getInfo/image/db340343-9def-11eb-a201-ac1f6b442185</v>
      </c>
      <c r="AA2626" s="33">
        <v>10</v>
      </c>
      <c r="AB2626" s="5"/>
      <c r="AC2626" s="5" t="s">
        <v>140</v>
      </c>
      <c r="AD2626" s="5"/>
      <c r="AE2626" s="5" t="s">
        <v>49</v>
      </c>
      <c r="AF2626" s="5"/>
      <c r="AG2626" s="5" t="s">
        <v>11342</v>
      </c>
      <c r="AH2626" s="5" t="s">
        <v>10416</v>
      </c>
    </row>
    <row r="2627" spans="2:35" ht="21" customHeight="1" outlineLevel="4" x14ac:dyDescent="0.2">
      <c r="B2627" s="42">
        <v>2102</v>
      </c>
      <c r="C2627" s="5" t="s">
        <v>11653</v>
      </c>
      <c r="D2627" s="5" t="s">
        <v>11654</v>
      </c>
      <c r="E2627" s="6" t="s">
        <v>11655</v>
      </c>
      <c r="F2627" s="10"/>
      <c r="G2627" s="11" t="s">
        <v>11404</v>
      </c>
      <c r="H2627" s="12">
        <v>40</v>
      </c>
      <c r="I2627" s="13" t="s">
        <v>41</v>
      </c>
      <c r="J2627" s="13"/>
      <c r="K2627" s="13"/>
      <c r="L2627" s="4">
        <v>5</v>
      </c>
      <c r="M2627" s="14">
        <f>127*(1-P3/100)</f>
        <v>127</v>
      </c>
      <c r="N2627" s="15"/>
      <c r="O2627" s="13">
        <f t="shared" si="114"/>
        <v>0</v>
      </c>
      <c r="P2627" s="32">
        <f>0.11*N2627</f>
        <v>0</v>
      </c>
      <c r="Q2627" s="23">
        <f>0.00022*N2627</f>
        <v>0</v>
      </c>
      <c r="R2627" s="24"/>
      <c r="S2627" s="25" t="s">
        <v>11656</v>
      </c>
      <c r="T2627" s="25" t="s">
        <v>43</v>
      </c>
      <c r="U2627" s="5" t="s">
        <v>10268</v>
      </c>
      <c r="V2627" s="5"/>
      <c r="W2627" s="5" t="s">
        <v>46</v>
      </c>
      <c r="X2627" s="5"/>
      <c r="Y2627" s="5"/>
      <c r="Z2627" s="5" t="str">
        <f>HYPERLINK("https://knigipp.ru/api/getInfo/image/04c5dc2b-da75-11eb-a209-ac1f6b442185")</f>
        <v>https://knigipp.ru/api/getInfo/image/04c5dc2b-da75-11eb-a209-ac1f6b442185</v>
      </c>
      <c r="AA2627" s="33">
        <v>10</v>
      </c>
      <c r="AB2627" s="5"/>
      <c r="AC2627" s="5" t="s">
        <v>140</v>
      </c>
      <c r="AD2627" s="5"/>
      <c r="AE2627" s="5" t="s">
        <v>49</v>
      </c>
      <c r="AF2627" s="5"/>
      <c r="AG2627" s="5" t="s">
        <v>11342</v>
      </c>
      <c r="AH2627" s="5" t="s">
        <v>10416</v>
      </c>
    </row>
    <row r="2628" spans="2:35" ht="21" customHeight="1" outlineLevel="4" x14ac:dyDescent="0.2">
      <c r="B2628" s="42">
        <v>2103</v>
      </c>
      <c r="C2628" s="5" t="s">
        <v>11657</v>
      </c>
      <c r="D2628" s="5" t="s">
        <v>11658</v>
      </c>
      <c r="E2628" s="6" t="s">
        <v>11659</v>
      </c>
      <c r="F2628" s="10"/>
      <c r="G2628" s="11" t="s">
        <v>11528</v>
      </c>
      <c r="H2628" s="12">
        <v>40</v>
      </c>
      <c r="I2628" s="13" t="s">
        <v>41</v>
      </c>
      <c r="J2628" s="13"/>
      <c r="K2628" s="13"/>
      <c r="L2628" s="4">
        <v>5</v>
      </c>
      <c r="M2628" s="14">
        <f>127*(1-P3/100)</f>
        <v>127</v>
      </c>
      <c r="N2628" s="15"/>
      <c r="O2628" s="13">
        <f t="shared" si="114"/>
        <v>0</v>
      </c>
      <c r="P2628" s="22">
        <f>0.109*N2628</f>
        <v>0</v>
      </c>
      <c r="Q2628" s="23">
        <f>0.00026*N2628</f>
        <v>0</v>
      </c>
      <c r="R2628" s="24"/>
      <c r="S2628" s="25" t="s">
        <v>11660</v>
      </c>
      <c r="T2628" s="25" t="s">
        <v>43</v>
      </c>
      <c r="U2628" s="5" t="s">
        <v>7952</v>
      </c>
      <c r="V2628" s="5" t="s">
        <v>11661</v>
      </c>
      <c r="W2628" s="5" t="s">
        <v>46</v>
      </c>
      <c r="X2628" s="5"/>
      <c r="Y2628" s="5"/>
      <c r="Z2628" s="5" t="str">
        <f>HYPERLINK("https://knigipp.ru/api/getInfo/image/5ccc7087-1d96-11ef-a25e-00155d82e908")</f>
        <v>https://knigipp.ru/api/getInfo/image/5ccc7087-1d96-11ef-a25e-00155d82e908</v>
      </c>
      <c r="AA2628" s="33">
        <v>10</v>
      </c>
      <c r="AB2628" s="5" t="s">
        <v>47</v>
      </c>
      <c r="AC2628" s="5" t="s">
        <v>140</v>
      </c>
      <c r="AD2628" s="5"/>
      <c r="AE2628" s="5" t="s">
        <v>49</v>
      </c>
      <c r="AF2628" s="5"/>
      <c r="AG2628" s="5" t="s">
        <v>11342</v>
      </c>
      <c r="AH2628" s="5" t="s">
        <v>10416</v>
      </c>
    </row>
    <row r="2629" spans="2:35" ht="21" customHeight="1" outlineLevel="4" x14ac:dyDescent="0.2">
      <c r="B2629" s="42">
        <v>2104</v>
      </c>
      <c r="C2629" s="5" t="s">
        <v>11662</v>
      </c>
      <c r="D2629" s="5" t="s">
        <v>11663</v>
      </c>
      <c r="E2629" s="6" t="s">
        <v>11664</v>
      </c>
      <c r="F2629" s="10"/>
      <c r="G2629" s="11" t="s">
        <v>11404</v>
      </c>
      <c r="H2629" s="12">
        <v>40</v>
      </c>
      <c r="I2629" s="13" t="s">
        <v>41</v>
      </c>
      <c r="J2629" s="13"/>
      <c r="K2629" s="13"/>
      <c r="L2629" s="4">
        <v>5</v>
      </c>
      <c r="M2629" s="14">
        <f>127*(1-P3/100)</f>
        <v>127</v>
      </c>
      <c r="N2629" s="15"/>
      <c r="O2629" s="13">
        <f t="shared" si="114"/>
        <v>0</v>
      </c>
      <c r="P2629" s="22">
        <f>0.144*N2629</f>
        <v>0</v>
      </c>
      <c r="Q2629" s="23">
        <f>0.00021*N2629</f>
        <v>0</v>
      </c>
      <c r="R2629" s="24"/>
      <c r="S2629" s="25" t="s">
        <v>11665</v>
      </c>
      <c r="T2629" s="25" t="s">
        <v>43</v>
      </c>
      <c r="U2629" s="5"/>
      <c r="V2629" s="5"/>
      <c r="W2629" s="5" t="s">
        <v>46</v>
      </c>
      <c r="X2629" s="5"/>
      <c r="Y2629" s="5"/>
      <c r="Z2629" s="5" t="str">
        <f>HYPERLINK("https://knigipp.ru/api/getInfo/image/c4d381a2-0313-11eb-a255-ac1f6b442184")</f>
        <v>https://knigipp.ru/api/getInfo/image/c4d381a2-0313-11eb-a255-ac1f6b442184</v>
      </c>
      <c r="AA2629" s="33">
        <v>10</v>
      </c>
      <c r="AB2629" s="5"/>
      <c r="AC2629" s="5" t="s">
        <v>140</v>
      </c>
      <c r="AD2629" s="5"/>
      <c r="AE2629" s="5" t="s">
        <v>49</v>
      </c>
      <c r="AF2629" s="5"/>
      <c r="AG2629" s="5" t="s">
        <v>11342</v>
      </c>
      <c r="AH2629" s="5" t="s">
        <v>10416</v>
      </c>
    </row>
    <row r="2630" spans="2:35" ht="21" customHeight="1" outlineLevel="4" x14ac:dyDescent="0.2">
      <c r="B2630" s="42">
        <v>2105</v>
      </c>
      <c r="C2630" s="5" t="s">
        <v>11666</v>
      </c>
      <c r="D2630" s="5" t="s">
        <v>11667</v>
      </c>
      <c r="E2630" s="6" t="s">
        <v>11668</v>
      </c>
      <c r="F2630" s="10"/>
      <c r="G2630" s="11" t="s">
        <v>11404</v>
      </c>
      <c r="H2630" s="12">
        <v>40</v>
      </c>
      <c r="I2630" s="13" t="s">
        <v>41</v>
      </c>
      <c r="J2630" s="13"/>
      <c r="K2630" s="13"/>
      <c r="L2630" s="4">
        <v>5</v>
      </c>
      <c r="M2630" s="14">
        <f>127*(1-P3/100)</f>
        <v>127</v>
      </c>
      <c r="N2630" s="15"/>
      <c r="O2630" s="13">
        <f t="shared" si="114"/>
        <v>0</v>
      </c>
      <c r="P2630" s="22">
        <f>0.142*N2630</f>
        <v>0</v>
      </c>
      <c r="Q2630" s="23">
        <f>0.00033*N2630</f>
        <v>0</v>
      </c>
      <c r="R2630" s="24"/>
      <c r="S2630" s="25" t="s">
        <v>11669</v>
      </c>
      <c r="T2630" s="25" t="s">
        <v>43</v>
      </c>
      <c r="U2630" s="5" t="s">
        <v>280</v>
      </c>
      <c r="V2630" s="5"/>
      <c r="W2630" s="5" t="s">
        <v>46</v>
      </c>
      <c r="X2630" s="5"/>
      <c r="Y2630" s="5"/>
      <c r="Z2630" s="5" t="str">
        <f>HYPERLINK("https://knigipp.ru/api/getInfo/image/33aac42e-730c-11ee-a248-00155d82e902")</f>
        <v>https://knigipp.ru/api/getInfo/image/33aac42e-730c-11ee-a248-00155d82e902</v>
      </c>
      <c r="AA2630" s="33">
        <v>10</v>
      </c>
      <c r="AB2630" s="5" t="s">
        <v>47</v>
      </c>
      <c r="AC2630" s="5" t="s">
        <v>140</v>
      </c>
      <c r="AD2630" s="5"/>
      <c r="AE2630" s="5" t="s">
        <v>49</v>
      </c>
      <c r="AF2630" s="5"/>
      <c r="AG2630" s="5" t="s">
        <v>11342</v>
      </c>
      <c r="AH2630" s="5" t="s">
        <v>10416</v>
      </c>
    </row>
    <row r="2631" spans="2:35" ht="21" customHeight="1" outlineLevel="4" x14ac:dyDescent="0.2">
      <c r="B2631" s="42">
        <v>2106</v>
      </c>
      <c r="C2631" s="5" t="s">
        <v>11670</v>
      </c>
      <c r="D2631" s="5" t="s">
        <v>11671</v>
      </c>
      <c r="E2631" s="6" t="s">
        <v>11672</v>
      </c>
      <c r="F2631" s="10"/>
      <c r="G2631" s="11"/>
      <c r="H2631" s="12">
        <v>40</v>
      </c>
      <c r="I2631" s="13" t="s">
        <v>41</v>
      </c>
      <c r="J2631" s="13"/>
      <c r="K2631" s="13"/>
      <c r="L2631" s="4">
        <v>5</v>
      </c>
      <c r="M2631" s="14">
        <f>127*(1-P3/100)</f>
        <v>127</v>
      </c>
      <c r="N2631" s="15"/>
      <c r="O2631" s="13">
        <f t="shared" si="114"/>
        <v>0</v>
      </c>
      <c r="P2631" s="22">
        <f>0.112*N2631</f>
        <v>0</v>
      </c>
      <c r="Q2631" s="23">
        <f>0.00011*N2631</f>
        <v>0</v>
      </c>
      <c r="R2631" s="24"/>
      <c r="S2631" s="25" t="s">
        <v>11673</v>
      </c>
      <c r="T2631" s="25" t="s">
        <v>43</v>
      </c>
      <c r="U2631" s="5"/>
      <c r="V2631" s="5" t="s">
        <v>11674</v>
      </c>
      <c r="W2631" s="5" t="s">
        <v>46</v>
      </c>
      <c r="X2631" s="5"/>
      <c r="Y2631" s="5"/>
      <c r="Z2631" s="5" t="str">
        <f>HYPERLINK("https://knigipp.ru/api/getInfo/image/7bb7152b-74f5-11ef-a265-00155d82e908")</f>
        <v>https://knigipp.ru/api/getInfo/image/7bb7152b-74f5-11ef-a265-00155d82e908</v>
      </c>
      <c r="AA2631" s="33">
        <v>10</v>
      </c>
      <c r="AB2631" s="5"/>
      <c r="AC2631" s="5" t="s">
        <v>140</v>
      </c>
      <c r="AD2631" s="5"/>
      <c r="AE2631" s="5" t="s">
        <v>49</v>
      </c>
      <c r="AF2631" s="5"/>
      <c r="AG2631" s="5"/>
      <c r="AH2631" s="5" t="s">
        <v>2624</v>
      </c>
    </row>
    <row r="2632" spans="2:35" ht="21" customHeight="1" outlineLevel="4" x14ac:dyDescent="0.2">
      <c r="B2632" s="42">
        <v>2107</v>
      </c>
      <c r="C2632" s="5" t="s">
        <v>11675</v>
      </c>
      <c r="D2632" s="5" t="s">
        <v>11676</v>
      </c>
      <c r="E2632" s="6" t="s">
        <v>11677</v>
      </c>
      <c r="F2632" s="10"/>
      <c r="G2632" s="11"/>
      <c r="H2632" s="12">
        <v>40</v>
      </c>
      <c r="I2632" s="13" t="s">
        <v>41</v>
      </c>
      <c r="J2632" s="13"/>
      <c r="K2632" s="13"/>
      <c r="L2632" s="4">
        <v>5</v>
      </c>
      <c r="M2632" s="14">
        <f>127*(1-P3/100)</f>
        <v>127</v>
      </c>
      <c r="N2632" s="15"/>
      <c r="O2632" s="13">
        <f t="shared" si="114"/>
        <v>0</v>
      </c>
      <c r="P2632" s="22">
        <f>0.107*N2632</f>
        <v>0</v>
      </c>
      <c r="Q2632" s="23">
        <f>0.00029*N2632</f>
        <v>0</v>
      </c>
      <c r="R2632" s="24"/>
      <c r="S2632" s="25" t="s">
        <v>11678</v>
      </c>
      <c r="T2632" s="25" t="s">
        <v>43</v>
      </c>
      <c r="U2632" s="5"/>
      <c r="V2632" s="5"/>
      <c r="W2632" s="5" t="s">
        <v>46</v>
      </c>
      <c r="X2632" s="5"/>
      <c r="Y2632" s="5"/>
      <c r="Z2632" s="5" t="str">
        <f>HYPERLINK("https://knigipp.ru/api/getInfo/image/d762cae4-74f4-11ef-a265-00155d82e908")</f>
        <v>https://knigipp.ru/api/getInfo/image/d762cae4-74f4-11ef-a265-00155d82e908</v>
      </c>
      <c r="AA2632" s="33">
        <v>10</v>
      </c>
      <c r="AB2632" s="5"/>
      <c r="AC2632" s="5" t="s">
        <v>140</v>
      </c>
      <c r="AD2632" s="5"/>
      <c r="AE2632" s="5" t="s">
        <v>49</v>
      </c>
      <c r="AF2632" s="5"/>
      <c r="AG2632" s="5"/>
      <c r="AH2632" s="5" t="s">
        <v>2624</v>
      </c>
    </row>
    <row r="2633" spans="2:35" ht="21" customHeight="1" outlineLevel="4" x14ac:dyDescent="0.2">
      <c r="B2633" s="42">
        <v>2108</v>
      </c>
      <c r="C2633" s="5" t="s">
        <v>11679</v>
      </c>
      <c r="D2633" s="5" t="s">
        <v>11680</v>
      </c>
      <c r="E2633" s="6" t="s">
        <v>11681</v>
      </c>
      <c r="F2633" s="10"/>
      <c r="G2633" s="11"/>
      <c r="H2633" s="12">
        <v>40</v>
      </c>
      <c r="I2633" s="13" t="s">
        <v>41</v>
      </c>
      <c r="J2633" s="13"/>
      <c r="K2633" s="13"/>
      <c r="L2633" s="4">
        <v>5</v>
      </c>
      <c r="M2633" s="14">
        <f>127*(1-P3/100)</f>
        <v>127</v>
      </c>
      <c r="N2633" s="15"/>
      <c r="O2633" s="13">
        <f t="shared" si="114"/>
        <v>0</v>
      </c>
      <c r="P2633" s="22">
        <f>0.113*N2633</f>
        <v>0</v>
      </c>
      <c r="Q2633" s="23">
        <f>0.00018*N2633</f>
        <v>0</v>
      </c>
      <c r="R2633" s="24"/>
      <c r="S2633" s="25" t="s">
        <v>11682</v>
      </c>
      <c r="T2633" s="25" t="s">
        <v>43</v>
      </c>
      <c r="U2633" s="5"/>
      <c r="V2633" s="5" t="s">
        <v>11683</v>
      </c>
      <c r="W2633" s="5" t="s">
        <v>46</v>
      </c>
      <c r="X2633" s="5"/>
      <c r="Y2633" s="5"/>
      <c r="Z2633" s="5" t="str">
        <f>HYPERLINK("https://knigipp.ru/api/getInfo/image/87ceff86-74fd-11ef-a265-00155d82e908")</f>
        <v>https://knigipp.ru/api/getInfo/image/87ceff86-74fd-11ef-a265-00155d82e908</v>
      </c>
      <c r="AA2633" s="33">
        <v>10</v>
      </c>
      <c r="AB2633" s="5"/>
      <c r="AC2633" s="5" t="s">
        <v>140</v>
      </c>
      <c r="AD2633" s="5"/>
      <c r="AE2633" s="5" t="s">
        <v>49</v>
      </c>
      <c r="AF2633" s="5"/>
      <c r="AG2633" s="5"/>
      <c r="AH2633" s="5" t="s">
        <v>2624</v>
      </c>
    </row>
    <row r="2634" spans="2:35" ht="21" customHeight="1" outlineLevel="4" x14ac:dyDescent="0.2">
      <c r="B2634" s="43">
        <v>2109</v>
      </c>
      <c r="C2634" s="8" t="s">
        <v>11684</v>
      </c>
      <c r="D2634" s="8" t="s">
        <v>11685</v>
      </c>
      <c r="E2634" s="9" t="s">
        <v>11686</v>
      </c>
      <c r="F2634" s="16"/>
      <c r="G2634" s="17"/>
      <c r="H2634" s="18">
        <v>40</v>
      </c>
      <c r="I2634" s="19" t="s">
        <v>41</v>
      </c>
      <c r="J2634" s="19"/>
      <c r="K2634" s="19"/>
      <c r="L2634" s="7">
        <v>5</v>
      </c>
      <c r="M2634" s="21">
        <f>127*(1-P3/100)</f>
        <v>127</v>
      </c>
      <c r="N2634" s="15"/>
      <c r="O2634" s="19">
        <f t="shared" si="114"/>
        <v>0</v>
      </c>
      <c r="P2634" s="26">
        <f>0.113*N2634</f>
        <v>0</v>
      </c>
      <c r="Q2634" s="27">
        <f>0.00018*N2634</f>
        <v>0</v>
      </c>
      <c r="R2634" s="28" t="s">
        <v>81</v>
      </c>
      <c r="S2634" s="29" t="s">
        <v>11687</v>
      </c>
      <c r="T2634" s="29" t="s">
        <v>43</v>
      </c>
      <c r="U2634" s="8" t="s">
        <v>11688</v>
      </c>
      <c r="V2634" s="8"/>
      <c r="W2634" s="8" t="s">
        <v>46</v>
      </c>
      <c r="X2634" s="8"/>
      <c r="Y2634" s="8"/>
      <c r="Z2634" s="8" t="str">
        <f>HYPERLINK("https://knigipp.ru/api/getInfo/image/8c30e776-e57a-11f0-a28c-00155d82e908")</f>
        <v>https://knigipp.ru/api/getInfo/image/8c30e776-e57a-11f0-a28c-00155d82e908</v>
      </c>
      <c r="AA2634" s="34">
        <v>10</v>
      </c>
      <c r="AB2634" s="8" t="s">
        <v>47</v>
      </c>
      <c r="AC2634" s="8" t="s">
        <v>140</v>
      </c>
      <c r="AD2634" s="8"/>
      <c r="AE2634" s="8" t="s">
        <v>49</v>
      </c>
      <c r="AF2634" s="8"/>
      <c r="AG2634" s="8" t="s">
        <v>11342</v>
      </c>
      <c r="AH2634" s="8" t="s">
        <v>10416</v>
      </c>
      <c r="AI2634" s="55"/>
    </row>
    <row r="2635" spans="2:35" ht="21" customHeight="1" outlineLevel="4" x14ac:dyDescent="0.2">
      <c r="B2635" s="42">
        <v>2110</v>
      </c>
      <c r="C2635" s="5" t="s">
        <v>11689</v>
      </c>
      <c r="D2635" s="5" t="s">
        <v>11690</v>
      </c>
      <c r="E2635" s="6" t="s">
        <v>11691</v>
      </c>
      <c r="F2635" s="10"/>
      <c r="G2635" s="11" t="s">
        <v>11404</v>
      </c>
      <c r="H2635" s="12">
        <v>40</v>
      </c>
      <c r="I2635" s="13" t="s">
        <v>41</v>
      </c>
      <c r="J2635" s="13"/>
      <c r="K2635" s="13"/>
      <c r="L2635" s="4">
        <v>5</v>
      </c>
      <c r="M2635" s="14">
        <f>127*(1-P3/100)</f>
        <v>127</v>
      </c>
      <c r="N2635" s="15"/>
      <c r="O2635" s="13">
        <f t="shared" si="114"/>
        <v>0</v>
      </c>
      <c r="P2635" s="22">
        <f>0.122*N2635</f>
        <v>0</v>
      </c>
      <c r="Q2635" s="23">
        <f>0.00032*N2635</f>
        <v>0</v>
      </c>
      <c r="R2635" s="24"/>
      <c r="S2635" s="25" t="s">
        <v>11692</v>
      </c>
      <c r="T2635" s="25" t="s">
        <v>43</v>
      </c>
      <c r="U2635" s="5"/>
      <c r="V2635" s="5"/>
      <c r="W2635" s="5" t="s">
        <v>46</v>
      </c>
      <c r="X2635" s="5"/>
      <c r="Y2635" s="5"/>
      <c r="Z2635" s="5" t="str">
        <f>HYPERLINK("https://knigipp.ru/api/getInfo/image/9b19cb31-eb66-11ea-a254-ac1f6b442184")</f>
        <v>https://knigipp.ru/api/getInfo/image/9b19cb31-eb66-11ea-a254-ac1f6b442184</v>
      </c>
      <c r="AA2635" s="33">
        <v>10</v>
      </c>
      <c r="AB2635" s="5"/>
      <c r="AC2635" s="5" t="s">
        <v>140</v>
      </c>
      <c r="AD2635" s="5"/>
      <c r="AE2635" s="5" t="s">
        <v>49</v>
      </c>
      <c r="AF2635" s="5"/>
      <c r="AG2635" s="5" t="s">
        <v>11342</v>
      </c>
      <c r="AH2635" s="5" t="s">
        <v>10416</v>
      </c>
    </row>
    <row r="2636" spans="2:35" ht="21" customHeight="1" outlineLevel="4" x14ac:dyDescent="0.2">
      <c r="B2636" s="42">
        <v>2111</v>
      </c>
      <c r="C2636" s="5" t="s">
        <v>11693</v>
      </c>
      <c r="D2636" s="5" t="s">
        <v>11694</v>
      </c>
      <c r="E2636" s="6" t="s">
        <v>11695</v>
      </c>
      <c r="F2636" s="10"/>
      <c r="G2636" s="11" t="s">
        <v>11528</v>
      </c>
      <c r="H2636" s="12">
        <v>40</v>
      </c>
      <c r="I2636" s="13" t="s">
        <v>41</v>
      </c>
      <c r="J2636" s="13"/>
      <c r="K2636" s="13"/>
      <c r="L2636" s="4">
        <v>5</v>
      </c>
      <c r="M2636" s="14">
        <f>127*(1-P3/100)</f>
        <v>127</v>
      </c>
      <c r="N2636" s="15"/>
      <c r="O2636" s="13">
        <f t="shared" si="114"/>
        <v>0</v>
      </c>
      <c r="P2636" s="22">
        <f>0.112*N2636</f>
        <v>0</v>
      </c>
      <c r="Q2636" s="23">
        <f>0.00022*N2636</f>
        <v>0</v>
      </c>
      <c r="R2636" s="24"/>
      <c r="S2636" s="25" t="s">
        <v>11696</v>
      </c>
      <c r="T2636" s="25" t="s">
        <v>43</v>
      </c>
      <c r="U2636" s="5" t="s">
        <v>7952</v>
      </c>
      <c r="V2636" s="5" t="s">
        <v>11697</v>
      </c>
      <c r="W2636" s="5" t="s">
        <v>46</v>
      </c>
      <c r="X2636" s="5"/>
      <c r="Y2636" s="5"/>
      <c r="Z2636" s="5" t="str">
        <f>HYPERLINK("https://knigipp.ru/api/getInfo/image/7bcd724a-1d96-11ef-a25e-00155d82e908")</f>
        <v>https://knigipp.ru/api/getInfo/image/7bcd724a-1d96-11ef-a25e-00155d82e908</v>
      </c>
      <c r="AA2636" s="33">
        <v>10</v>
      </c>
      <c r="AB2636" s="5" t="s">
        <v>47</v>
      </c>
      <c r="AC2636" s="5" t="s">
        <v>140</v>
      </c>
      <c r="AD2636" s="5"/>
      <c r="AE2636" s="5" t="s">
        <v>49</v>
      </c>
      <c r="AF2636" s="5"/>
      <c r="AG2636" s="5" t="s">
        <v>11342</v>
      </c>
      <c r="AH2636" s="5" t="s">
        <v>10416</v>
      </c>
    </row>
    <row r="2637" spans="2:35" ht="21" customHeight="1" outlineLevel="4" x14ac:dyDescent="0.2">
      <c r="B2637" s="42">
        <v>2112</v>
      </c>
      <c r="C2637" s="5" t="s">
        <v>11698</v>
      </c>
      <c r="D2637" s="5" t="s">
        <v>11699</v>
      </c>
      <c r="E2637" s="6" t="s">
        <v>11700</v>
      </c>
      <c r="F2637" s="10"/>
      <c r="G2637" s="11" t="s">
        <v>11404</v>
      </c>
      <c r="H2637" s="12">
        <v>40</v>
      </c>
      <c r="I2637" s="13" t="s">
        <v>41</v>
      </c>
      <c r="J2637" s="13"/>
      <c r="K2637" s="13"/>
      <c r="L2637" s="4">
        <v>5</v>
      </c>
      <c r="M2637" s="14">
        <f>127*(1-P3/100)</f>
        <v>127</v>
      </c>
      <c r="N2637" s="15"/>
      <c r="O2637" s="13">
        <f t="shared" si="114"/>
        <v>0</v>
      </c>
      <c r="P2637" s="22">
        <f>0.144*N2637</f>
        <v>0</v>
      </c>
      <c r="Q2637" s="23">
        <f>0.00021*N2637</f>
        <v>0</v>
      </c>
      <c r="R2637" s="24"/>
      <c r="S2637" s="25" t="s">
        <v>11701</v>
      </c>
      <c r="T2637" s="25" t="s">
        <v>43</v>
      </c>
      <c r="U2637" s="5" t="s">
        <v>11702</v>
      </c>
      <c r="V2637" s="5"/>
      <c r="W2637" s="5" t="s">
        <v>46</v>
      </c>
      <c r="X2637" s="5" t="s">
        <v>11703</v>
      </c>
      <c r="Y2637" s="5"/>
      <c r="Z2637" s="5" t="str">
        <f>HYPERLINK("https://knigipp.ru/api/getInfo/image/8a0d9a37-c686-11e1-81d3-5ef3fc502493")</f>
        <v>https://knigipp.ru/api/getInfo/image/8a0d9a37-c686-11e1-81d3-5ef3fc502493</v>
      </c>
      <c r="AA2637" s="33">
        <v>10</v>
      </c>
      <c r="AB2637" s="5"/>
      <c r="AC2637" s="5" t="s">
        <v>140</v>
      </c>
      <c r="AD2637" s="5"/>
      <c r="AE2637" s="5" t="s">
        <v>49</v>
      </c>
      <c r="AF2637" s="5"/>
      <c r="AG2637" s="5" t="s">
        <v>11342</v>
      </c>
      <c r="AH2637" s="5" t="s">
        <v>10416</v>
      </c>
    </row>
    <row r="2638" spans="2:35" ht="21" customHeight="1" outlineLevel="4" x14ac:dyDescent="0.2">
      <c r="B2638" s="42">
        <v>2113</v>
      </c>
      <c r="C2638" s="5" t="s">
        <v>11704</v>
      </c>
      <c r="D2638" s="5" t="s">
        <v>11705</v>
      </c>
      <c r="E2638" s="6" t="s">
        <v>11706</v>
      </c>
      <c r="F2638" s="10"/>
      <c r="G2638" s="11" t="s">
        <v>11404</v>
      </c>
      <c r="H2638" s="12">
        <v>40</v>
      </c>
      <c r="I2638" s="13" t="s">
        <v>41</v>
      </c>
      <c r="J2638" s="13"/>
      <c r="K2638" s="13"/>
      <c r="L2638" s="4">
        <v>5</v>
      </c>
      <c r="M2638" s="14">
        <f>127*(1-P3/100)</f>
        <v>127</v>
      </c>
      <c r="N2638" s="15"/>
      <c r="O2638" s="13">
        <f t="shared" si="114"/>
        <v>0</v>
      </c>
      <c r="P2638" s="22">
        <f>0.144*N2638</f>
        <v>0</v>
      </c>
      <c r="Q2638" s="23">
        <f>0.00021*N2638</f>
        <v>0</v>
      </c>
      <c r="R2638" s="24"/>
      <c r="S2638" s="25" t="s">
        <v>11707</v>
      </c>
      <c r="T2638" s="25" t="s">
        <v>43</v>
      </c>
      <c r="U2638" s="5"/>
      <c r="V2638" s="5"/>
      <c r="W2638" s="5" t="s">
        <v>46</v>
      </c>
      <c r="X2638" s="5"/>
      <c r="Y2638" s="5"/>
      <c r="Z2638" s="5" t="str">
        <f>HYPERLINK("https://knigipp.ru/api/getInfo/image/41764c8e-0313-11eb-a255-ac1f6b442184")</f>
        <v>https://knigipp.ru/api/getInfo/image/41764c8e-0313-11eb-a255-ac1f6b442184</v>
      </c>
      <c r="AA2638" s="33">
        <v>10</v>
      </c>
      <c r="AB2638" s="5"/>
      <c r="AC2638" s="5" t="s">
        <v>140</v>
      </c>
      <c r="AD2638" s="5"/>
      <c r="AE2638" s="5" t="s">
        <v>49</v>
      </c>
      <c r="AF2638" s="5"/>
      <c r="AG2638" s="5" t="s">
        <v>11342</v>
      </c>
      <c r="AH2638" s="5" t="s">
        <v>10416</v>
      </c>
    </row>
    <row r="2639" spans="2:35" ht="21" customHeight="1" outlineLevel="4" x14ac:dyDescent="0.2">
      <c r="B2639" s="42">
        <v>2114</v>
      </c>
      <c r="C2639" s="5" t="s">
        <v>11708</v>
      </c>
      <c r="D2639" s="5" t="s">
        <v>11709</v>
      </c>
      <c r="E2639" s="6" t="s">
        <v>11710</v>
      </c>
      <c r="F2639" s="10"/>
      <c r="G2639" s="11" t="s">
        <v>11404</v>
      </c>
      <c r="H2639" s="12">
        <v>40</v>
      </c>
      <c r="I2639" s="13" t="s">
        <v>41</v>
      </c>
      <c r="J2639" s="13"/>
      <c r="K2639" s="13"/>
      <c r="L2639" s="4">
        <v>5</v>
      </c>
      <c r="M2639" s="14">
        <f>127*(1-P3/100)</f>
        <v>127</v>
      </c>
      <c r="N2639" s="15"/>
      <c r="O2639" s="13">
        <f t="shared" si="114"/>
        <v>0</v>
      </c>
      <c r="P2639" s="22">
        <f>0.135*N2639</f>
        <v>0</v>
      </c>
      <c r="Q2639" s="23">
        <f>0.00022*N2639</f>
        <v>0</v>
      </c>
      <c r="R2639" s="24"/>
      <c r="S2639" s="25" t="s">
        <v>11711</v>
      </c>
      <c r="T2639" s="25" t="s">
        <v>43</v>
      </c>
      <c r="U2639" s="5"/>
      <c r="V2639" s="5"/>
      <c r="W2639" s="5" t="s">
        <v>46</v>
      </c>
      <c r="X2639" s="5"/>
      <c r="Y2639" s="5"/>
      <c r="Z2639" s="5" t="str">
        <f>HYPERLINK("https://knigipp.ru/api/getInfo/image/73861ce2-0313-11eb-a255-ac1f6b442184")</f>
        <v>https://knigipp.ru/api/getInfo/image/73861ce2-0313-11eb-a255-ac1f6b442184</v>
      </c>
      <c r="AA2639" s="33">
        <v>10</v>
      </c>
      <c r="AB2639" s="5"/>
      <c r="AC2639" s="5" t="s">
        <v>140</v>
      </c>
      <c r="AD2639" s="5"/>
      <c r="AE2639" s="5" t="s">
        <v>49</v>
      </c>
      <c r="AF2639" s="5"/>
      <c r="AG2639" s="5" t="s">
        <v>11342</v>
      </c>
      <c r="AH2639" s="5" t="s">
        <v>10416</v>
      </c>
    </row>
    <row r="2640" spans="2:35" ht="21" customHeight="1" outlineLevel="4" x14ac:dyDescent="0.2">
      <c r="B2640" s="42">
        <v>2115</v>
      </c>
      <c r="C2640" s="5" t="s">
        <v>11712</v>
      </c>
      <c r="D2640" s="5" t="s">
        <v>11713</v>
      </c>
      <c r="E2640" s="6" t="s">
        <v>11714</v>
      </c>
      <c r="F2640" s="10"/>
      <c r="G2640" s="11" t="s">
        <v>11360</v>
      </c>
      <c r="H2640" s="12">
        <v>40</v>
      </c>
      <c r="I2640" s="13" t="s">
        <v>41</v>
      </c>
      <c r="J2640" s="13"/>
      <c r="K2640" s="13"/>
      <c r="L2640" s="4">
        <v>5</v>
      </c>
      <c r="M2640" s="14">
        <f>127*(1-P3/100)</f>
        <v>127</v>
      </c>
      <c r="N2640" s="15"/>
      <c r="O2640" s="13">
        <f t="shared" si="114"/>
        <v>0</v>
      </c>
      <c r="P2640" s="22">
        <f>0.108*N2640</f>
        <v>0</v>
      </c>
      <c r="Q2640" s="23">
        <f>0.00018*N2640</f>
        <v>0</v>
      </c>
      <c r="R2640" s="24"/>
      <c r="S2640" s="25" t="s">
        <v>11715</v>
      </c>
      <c r="T2640" s="25" t="s">
        <v>43</v>
      </c>
      <c r="U2640" s="5" t="s">
        <v>7952</v>
      </c>
      <c r="V2640" s="5"/>
      <c r="W2640" s="5" t="s">
        <v>46</v>
      </c>
      <c r="X2640" s="5"/>
      <c r="Y2640" s="5"/>
      <c r="Z2640" s="5" t="str">
        <f>HYPERLINK("https://knigipp.ru/api/getInfo/image/34bf6e96-354f-11ef-a261-00155d82e908")</f>
        <v>https://knigipp.ru/api/getInfo/image/34bf6e96-354f-11ef-a261-00155d82e908</v>
      </c>
      <c r="AA2640" s="33">
        <v>10</v>
      </c>
      <c r="AB2640" s="5" t="s">
        <v>47</v>
      </c>
      <c r="AC2640" s="5" t="s">
        <v>140</v>
      </c>
      <c r="AD2640" s="5"/>
      <c r="AE2640" s="5" t="s">
        <v>49</v>
      </c>
      <c r="AF2640" s="5"/>
      <c r="AG2640" s="5" t="s">
        <v>11342</v>
      </c>
      <c r="AH2640" s="5" t="s">
        <v>10416</v>
      </c>
    </row>
    <row r="2641" spans="2:34" ht="21" customHeight="1" outlineLevel="4" x14ac:dyDescent="0.2">
      <c r="B2641" s="42">
        <v>2116</v>
      </c>
      <c r="C2641" s="5" t="s">
        <v>11716</v>
      </c>
      <c r="D2641" s="5" t="s">
        <v>11717</v>
      </c>
      <c r="E2641" s="6" t="s">
        <v>11718</v>
      </c>
      <c r="F2641" s="10"/>
      <c r="G2641" s="11"/>
      <c r="H2641" s="12">
        <v>40</v>
      </c>
      <c r="I2641" s="13" t="s">
        <v>41</v>
      </c>
      <c r="J2641" s="13"/>
      <c r="K2641" s="13"/>
      <c r="L2641" s="4">
        <v>5</v>
      </c>
      <c r="M2641" s="14">
        <f>127*(1-P3/100)</f>
        <v>127</v>
      </c>
      <c r="N2641" s="15"/>
      <c r="O2641" s="13">
        <f t="shared" si="114"/>
        <v>0</v>
      </c>
      <c r="P2641" s="22">
        <f>0.108*N2641</f>
        <v>0</v>
      </c>
      <c r="Q2641" s="23">
        <f>0.00018*N2641</f>
        <v>0</v>
      </c>
      <c r="R2641" s="24"/>
      <c r="S2641" s="25" t="s">
        <v>11719</v>
      </c>
      <c r="T2641" s="25" t="s">
        <v>43</v>
      </c>
      <c r="U2641" s="5"/>
      <c r="V2641" s="5"/>
      <c r="W2641" s="5" t="s">
        <v>46</v>
      </c>
      <c r="X2641" s="5"/>
      <c r="Y2641" s="5"/>
      <c r="Z2641" s="5" t="str">
        <f>HYPERLINK("https://knigipp.ru/api/getInfo/image/ac061c07-74f6-11ef-a265-00155d82e908")</f>
        <v>https://knigipp.ru/api/getInfo/image/ac061c07-74f6-11ef-a265-00155d82e908</v>
      </c>
      <c r="AA2641" s="33">
        <v>10</v>
      </c>
      <c r="AB2641" s="5"/>
      <c r="AC2641" s="5" t="s">
        <v>140</v>
      </c>
      <c r="AD2641" s="5"/>
      <c r="AE2641" s="5" t="s">
        <v>49</v>
      </c>
      <c r="AF2641" s="5"/>
      <c r="AG2641" s="5"/>
      <c r="AH2641" s="5" t="s">
        <v>11720</v>
      </c>
    </row>
    <row r="2642" spans="2:34" ht="21" customHeight="1" outlineLevel="4" x14ac:dyDescent="0.2">
      <c r="B2642" s="42">
        <v>2117</v>
      </c>
      <c r="C2642" s="5" t="s">
        <v>11721</v>
      </c>
      <c r="D2642" s="5" t="s">
        <v>11722</v>
      </c>
      <c r="E2642" s="6" t="s">
        <v>11723</v>
      </c>
      <c r="F2642" s="10"/>
      <c r="G2642" s="11" t="s">
        <v>11404</v>
      </c>
      <c r="H2642" s="12">
        <v>40</v>
      </c>
      <c r="I2642" s="13" t="s">
        <v>41</v>
      </c>
      <c r="J2642" s="13"/>
      <c r="K2642" s="13"/>
      <c r="L2642" s="4">
        <v>5</v>
      </c>
      <c r="M2642" s="14">
        <f>127*(1-P3/100)</f>
        <v>127</v>
      </c>
      <c r="N2642" s="15"/>
      <c r="O2642" s="13">
        <f t="shared" si="114"/>
        <v>0</v>
      </c>
      <c r="P2642" s="22">
        <f>0.115*N2642</f>
        <v>0</v>
      </c>
      <c r="Q2642" s="23">
        <f>0.00022*N2642</f>
        <v>0</v>
      </c>
      <c r="R2642" s="24"/>
      <c r="S2642" s="25" t="s">
        <v>11724</v>
      </c>
      <c r="T2642" s="25" t="s">
        <v>43</v>
      </c>
      <c r="U2642" s="5"/>
      <c r="V2642" s="5"/>
      <c r="W2642" s="5" t="s">
        <v>46</v>
      </c>
      <c r="X2642" s="5"/>
      <c r="Y2642" s="5"/>
      <c r="Z2642" s="5" t="str">
        <f>HYPERLINK("https://knigipp.ru/api/getInfo/image/6ee3bcd6-5a32-11ea-a242-ac1f6b442184")</f>
        <v>https://knigipp.ru/api/getInfo/image/6ee3bcd6-5a32-11ea-a242-ac1f6b442184</v>
      </c>
      <c r="AA2642" s="33">
        <v>10</v>
      </c>
      <c r="AB2642" s="5"/>
      <c r="AC2642" s="5" t="s">
        <v>140</v>
      </c>
      <c r="AD2642" s="5"/>
      <c r="AE2642" s="5" t="s">
        <v>49</v>
      </c>
      <c r="AF2642" s="5"/>
      <c r="AG2642" s="5" t="s">
        <v>11342</v>
      </c>
      <c r="AH2642" s="5" t="s">
        <v>10416</v>
      </c>
    </row>
    <row r="2643" spans="2:34" ht="21" customHeight="1" outlineLevel="4" x14ac:dyDescent="0.2">
      <c r="B2643" s="42">
        <v>2118</v>
      </c>
      <c r="C2643" s="5" t="s">
        <v>11725</v>
      </c>
      <c r="D2643" s="5" t="s">
        <v>11726</v>
      </c>
      <c r="E2643" s="6" t="s">
        <v>11727</v>
      </c>
      <c r="F2643" s="10"/>
      <c r="G2643" s="11" t="s">
        <v>11404</v>
      </c>
      <c r="H2643" s="12">
        <v>40</v>
      </c>
      <c r="I2643" s="13" t="s">
        <v>41</v>
      </c>
      <c r="J2643" s="13"/>
      <c r="K2643" s="13"/>
      <c r="L2643" s="4">
        <v>5</v>
      </c>
      <c r="M2643" s="14">
        <f>127*(1-P3/100)</f>
        <v>127</v>
      </c>
      <c r="N2643" s="15"/>
      <c r="O2643" s="13">
        <f t="shared" si="114"/>
        <v>0</v>
      </c>
      <c r="P2643" s="22">
        <f>0.144*N2643</f>
        <v>0</v>
      </c>
      <c r="Q2643" s="23">
        <f>0.00021*N2643</f>
        <v>0</v>
      </c>
      <c r="R2643" s="24"/>
      <c r="S2643" s="25" t="s">
        <v>11728</v>
      </c>
      <c r="T2643" s="25" t="s">
        <v>43</v>
      </c>
      <c r="U2643" s="5"/>
      <c r="V2643" s="5"/>
      <c r="W2643" s="5" t="s">
        <v>46</v>
      </c>
      <c r="X2643" s="5" t="s">
        <v>10970</v>
      </c>
      <c r="Y2643" s="5"/>
      <c r="Z2643" s="5" t="str">
        <f>HYPERLINK("https://knigipp.ru/api/getInfo/image/8a0d99ff-c686-11e1-81d3-5ef3fc502493")</f>
        <v>https://knigipp.ru/api/getInfo/image/8a0d99ff-c686-11e1-81d3-5ef3fc502493</v>
      </c>
      <c r="AA2643" s="33">
        <v>10</v>
      </c>
      <c r="AB2643" s="5"/>
      <c r="AC2643" s="5" t="s">
        <v>140</v>
      </c>
      <c r="AD2643" s="5"/>
      <c r="AE2643" s="5" t="s">
        <v>49</v>
      </c>
      <c r="AF2643" s="5"/>
      <c r="AG2643" s="5" t="s">
        <v>11342</v>
      </c>
      <c r="AH2643" s="5" t="s">
        <v>10416</v>
      </c>
    </row>
    <row r="2644" spans="2:34" ht="21" customHeight="1" outlineLevel="4" x14ac:dyDescent="0.2">
      <c r="B2644" s="42">
        <v>2119</v>
      </c>
      <c r="C2644" s="5" t="s">
        <v>11729</v>
      </c>
      <c r="D2644" s="5" t="s">
        <v>11730</v>
      </c>
      <c r="E2644" s="6" t="s">
        <v>11731</v>
      </c>
      <c r="F2644" s="10"/>
      <c r="G2644" s="11"/>
      <c r="H2644" s="12">
        <v>40</v>
      </c>
      <c r="I2644" s="13" t="s">
        <v>41</v>
      </c>
      <c r="J2644" s="13"/>
      <c r="K2644" s="13"/>
      <c r="L2644" s="4">
        <v>5</v>
      </c>
      <c r="M2644" s="14">
        <f>127*(1-P3/100)</f>
        <v>127</v>
      </c>
      <c r="N2644" s="15"/>
      <c r="O2644" s="13">
        <f t="shared" si="114"/>
        <v>0</v>
      </c>
      <c r="P2644" s="32">
        <f>0.11*N2644</f>
        <v>0</v>
      </c>
      <c r="Q2644" s="23">
        <f>0.00039*N2644</f>
        <v>0</v>
      </c>
      <c r="R2644" s="24"/>
      <c r="S2644" s="25" t="s">
        <v>11732</v>
      </c>
      <c r="T2644" s="25" t="s">
        <v>43</v>
      </c>
      <c r="U2644" s="5" t="s">
        <v>9114</v>
      </c>
      <c r="V2644" s="5"/>
      <c r="W2644" s="5" t="s">
        <v>46</v>
      </c>
      <c r="X2644" s="5"/>
      <c r="Y2644" s="5"/>
      <c r="Z2644" s="5" t="str">
        <f>HYPERLINK("https://knigipp.ru/api/getInfo/image/cd121b81-ae4c-11ef-a267-00155d82e908")</f>
        <v>https://knigipp.ru/api/getInfo/image/cd121b81-ae4c-11ef-a267-00155d82e908</v>
      </c>
      <c r="AA2644" s="33">
        <v>10</v>
      </c>
      <c r="AB2644" s="5" t="s">
        <v>47</v>
      </c>
      <c r="AC2644" s="5" t="s">
        <v>140</v>
      </c>
      <c r="AD2644" s="5"/>
      <c r="AE2644" s="5" t="s">
        <v>49</v>
      </c>
      <c r="AF2644" s="5"/>
      <c r="AG2644" s="5" t="s">
        <v>11342</v>
      </c>
      <c r="AH2644" s="5" t="s">
        <v>10416</v>
      </c>
    </row>
    <row r="2645" spans="2:34" ht="21" customHeight="1" outlineLevel="4" x14ac:dyDescent="0.2">
      <c r="B2645" s="42">
        <v>2120</v>
      </c>
      <c r="C2645" s="5" t="s">
        <v>11733</v>
      </c>
      <c r="D2645" s="5" t="s">
        <v>11734</v>
      </c>
      <c r="E2645" s="6" t="s">
        <v>11735</v>
      </c>
      <c r="F2645" s="10"/>
      <c r="G2645" s="11"/>
      <c r="H2645" s="12">
        <v>40</v>
      </c>
      <c r="I2645" s="13" t="s">
        <v>41</v>
      </c>
      <c r="J2645" s="13"/>
      <c r="K2645" s="13"/>
      <c r="L2645" s="4">
        <v>5</v>
      </c>
      <c r="M2645" s="14">
        <f>127*(1-P3/100)</f>
        <v>127</v>
      </c>
      <c r="N2645" s="15"/>
      <c r="O2645" s="13">
        <f t="shared" si="114"/>
        <v>0</v>
      </c>
      <c r="P2645" s="22">
        <f>0.113*N2645</f>
        <v>0</v>
      </c>
      <c r="Q2645" s="23">
        <f>0.00018*N2645</f>
        <v>0</v>
      </c>
      <c r="R2645" s="24"/>
      <c r="S2645" s="25" t="s">
        <v>11736</v>
      </c>
      <c r="T2645" s="25" t="s">
        <v>43</v>
      </c>
      <c r="U2645" s="5"/>
      <c r="V2645" s="5"/>
      <c r="W2645" s="5" t="s">
        <v>46</v>
      </c>
      <c r="X2645" s="5"/>
      <c r="Y2645" s="5"/>
      <c r="Z2645" s="5" t="str">
        <f>HYPERLINK("https://knigipp.ru/api/getInfo/image/f8666378-74f6-11ef-a265-00155d82e908")</f>
        <v>https://knigipp.ru/api/getInfo/image/f8666378-74f6-11ef-a265-00155d82e908</v>
      </c>
      <c r="AA2645" s="33">
        <v>10</v>
      </c>
      <c r="AB2645" s="5"/>
      <c r="AC2645" s="5" t="s">
        <v>140</v>
      </c>
      <c r="AD2645" s="5"/>
      <c r="AE2645" s="5" t="s">
        <v>49</v>
      </c>
      <c r="AF2645" s="5"/>
      <c r="AG2645" s="5"/>
      <c r="AH2645" s="5" t="s">
        <v>11720</v>
      </c>
    </row>
    <row r="2646" spans="2:34" ht="21" customHeight="1" outlineLevel="4" x14ac:dyDescent="0.2">
      <c r="B2646" s="42">
        <v>2121</v>
      </c>
      <c r="C2646" s="5" t="s">
        <v>11737</v>
      </c>
      <c r="D2646" s="5" t="s">
        <v>11738</v>
      </c>
      <c r="E2646" s="6" t="s">
        <v>11739</v>
      </c>
      <c r="F2646" s="10"/>
      <c r="G2646" s="11" t="s">
        <v>11523</v>
      </c>
      <c r="H2646" s="12">
        <v>40</v>
      </c>
      <c r="I2646" s="13" t="s">
        <v>41</v>
      </c>
      <c r="J2646" s="13"/>
      <c r="K2646" s="13"/>
      <c r="L2646" s="4">
        <v>5</v>
      </c>
      <c r="M2646" s="14">
        <f>127*(1-P3/100)</f>
        <v>127</v>
      </c>
      <c r="N2646" s="15"/>
      <c r="O2646" s="13">
        <f t="shared" si="114"/>
        <v>0</v>
      </c>
      <c r="P2646" s="22">
        <f>0.135*N2646</f>
        <v>0</v>
      </c>
      <c r="Q2646" s="23">
        <f>0.00018*N2646</f>
        <v>0</v>
      </c>
      <c r="R2646" s="24"/>
      <c r="S2646" s="25" t="s">
        <v>11740</v>
      </c>
      <c r="T2646" s="25" t="s">
        <v>43</v>
      </c>
      <c r="U2646" s="5" t="s">
        <v>8583</v>
      </c>
      <c r="V2646" s="5"/>
      <c r="W2646" s="5" t="s">
        <v>46</v>
      </c>
      <c r="X2646" s="5"/>
      <c r="Y2646" s="5"/>
      <c r="Z2646" s="5" t="str">
        <f>HYPERLINK("https://knigipp.ru/api/getInfo/image/df777708-33cf-11eb-a25e-ac1f6b442184")</f>
        <v>https://knigipp.ru/api/getInfo/image/df777708-33cf-11eb-a25e-ac1f6b442184</v>
      </c>
      <c r="AA2646" s="33">
        <v>10</v>
      </c>
      <c r="AB2646" s="5"/>
      <c r="AC2646" s="5" t="s">
        <v>140</v>
      </c>
      <c r="AD2646" s="5"/>
      <c r="AE2646" s="5" t="s">
        <v>49</v>
      </c>
      <c r="AF2646" s="5"/>
      <c r="AG2646" s="5" t="s">
        <v>11342</v>
      </c>
      <c r="AH2646" s="5" t="s">
        <v>10416</v>
      </c>
    </row>
    <row r="2647" spans="2:34" ht="21" customHeight="1" outlineLevel="4" x14ac:dyDescent="0.2">
      <c r="B2647" s="42">
        <v>2122</v>
      </c>
      <c r="C2647" s="5" t="s">
        <v>11741</v>
      </c>
      <c r="D2647" s="5" t="s">
        <v>11742</v>
      </c>
      <c r="E2647" s="6" t="s">
        <v>11743</v>
      </c>
      <c r="F2647" s="10"/>
      <c r="G2647" s="11" t="s">
        <v>11404</v>
      </c>
      <c r="H2647" s="12">
        <v>40</v>
      </c>
      <c r="I2647" s="13" t="s">
        <v>41</v>
      </c>
      <c r="J2647" s="13"/>
      <c r="K2647" s="13"/>
      <c r="L2647" s="4">
        <v>5</v>
      </c>
      <c r="M2647" s="14">
        <f>127*(1-P3/100)</f>
        <v>127</v>
      </c>
      <c r="N2647" s="15"/>
      <c r="O2647" s="13">
        <f t="shared" si="114"/>
        <v>0</v>
      </c>
      <c r="P2647" s="22">
        <f>0.144*N2647</f>
        <v>0</v>
      </c>
      <c r="Q2647" s="23">
        <f>0.00021*N2647</f>
        <v>0</v>
      </c>
      <c r="R2647" s="24"/>
      <c r="S2647" s="25" t="s">
        <v>11744</v>
      </c>
      <c r="T2647" s="25" t="s">
        <v>43</v>
      </c>
      <c r="U2647" s="5"/>
      <c r="V2647" s="5"/>
      <c r="W2647" s="5" t="s">
        <v>46</v>
      </c>
      <c r="X2647" s="5" t="s">
        <v>10425</v>
      </c>
      <c r="Y2647" s="5"/>
      <c r="Z2647" s="5" t="str">
        <f>HYPERLINK("https://knigipp.ru/api/getInfo/image/8a0d9a45-c686-11e1-81d3-5ef3fc502493")</f>
        <v>https://knigipp.ru/api/getInfo/image/8a0d9a45-c686-11e1-81d3-5ef3fc502493</v>
      </c>
      <c r="AA2647" s="33">
        <v>10</v>
      </c>
      <c r="AB2647" s="5"/>
      <c r="AC2647" s="5" t="s">
        <v>140</v>
      </c>
      <c r="AD2647" s="5"/>
      <c r="AE2647" s="5" t="s">
        <v>49</v>
      </c>
      <c r="AF2647" s="5"/>
      <c r="AG2647" s="5" t="s">
        <v>11342</v>
      </c>
      <c r="AH2647" s="5" t="s">
        <v>10416</v>
      </c>
    </row>
    <row r="2648" spans="2:34" ht="21" customHeight="1" outlineLevel="4" x14ac:dyDescent="0.2">
      <c r="B2648" s="42">
        <v>2123</v>
      </c>
      <c r="C2648" s="5" t="s">
        <v>11745</v>
      </c>
      <c r="D2648" s="5" t="s">
        <v>11746</v>
      </c>
      <c r="E2648" s="6" t="s">
        <v>11747</v>
      </c>
      <c r="F2648" s="10"/>
      <c r="G2648" s="11" t="s">
        <v>11523</v>
      </c>
      <c r="H2648" s="12">
        <v>40</v>
      </c>
      <c r="I2648" s="13" t="s">
        <v>41</v>
      </c>
      <c r="J2648" s="13"/>
      <c r="K2648" s="13"/>
      <c r="L2648" s="4">
        <v>5</v>
      </c>
      <c r="M2648" s="14">
        <f>127*(1-P3/100)</f>
        <v>127</v>
      </c>
      <c r="N2648" s="15"/>
      <c r="O2648" s="13">
        <f t="shared" si="114"/>
        <v>0</v>
      </c>
      <c r="P2648" s="22">
        <f>0.144*N2648</f>
        <v>0</v>
      </c>
      <c r="Q2648" s="23">
        <f>0.00021*N2648</f>
        <v>0</v>
      </c>
      <c r="R2648" s="24"/>
      <c r="S2648" s="25" t="s">
        <v>11748</v>
      </c>
      <c r="T2648" s="25" t="s">
        <v>43</v>
      </c>
      <c r="U2648" s="5" t="s">
        <v>11253</v>
      </c>
      <c r="V2648" s="5"/>
      <c r="W2648" s="5" t="s">
        <v>46</v>
      </c>
      <c r="X2648" s="5"/>
      <c r="Y2648" s="5"/>
      <c r="Z2648" s="5" t="str">
        <f>HYPERLINK("https://knigipp.ru/api/getInfo/image/549e8c2e-33d0-11eb-a25e-ac1f6b442184")</f>
        <v>https://knigipp.ru/api/getInfo/image/549e8c2e-33d0-11eb-a25e-ac1f6b442184</v>
      </c>
      <c r="AA2648" s="33">
        <v>10</v>
      </c>
      <c r="AB2648" s="5"/>
      <c r="AC2648" s="5" t="s">
        <v>140</v>
      </c>
      <c r="AD2648" s="5"/>
      <c r="AE2648" s="5" t="s">
        <v>49</v>
      </c>
      <c r="AF2648" s="5"/>
      <c r="AG2648" s="5" t="s">
        <v>11342</v>
      </c>
      <c r="AH2648" s="5" t="s">
        <v>10416</v>
      </c>
    </row>
    <row r="2649" spans="2:34" ht="21" customHeight="1" outlineLevel="4" x14ac:dyDescent="0.2">
      <c r="B2649" s="42">
        <v>2124</v>
      </c>
      <c r="C2649" s="5" t="s">
        <v>11749</v>
      </c>
      <c r="D2649" s="5" t="s">
        <v>11750</v>
      </c>
      <c r="E2649" s="6" t="s">
        <v>11751</v>
      </c>
      <c r="F2649" s="10"/>
      <c r="G2649" s="11" t="s">
        <v>11572</v>
      </c>
      <c r="H2649" s="12">
        <v>40</v>
      </c>
      <c r="I2649" s="13" t="s">
        <v>41</v>
      </c>
      <c r="J2649" s="13"/>
      <c r="K2649" s="13"/>
      <c r="L2649" s="4">
        <v>5</v>
      </c>
      <c r="M2649" s="14">
        <f>127*(1-P3/100)</f>
        <v>127</v>
      </c>
      <c r="N2649" s="15"/>
      <c r="O2649" s="13">
        <f t="shared" si="114"/>
        <v>0</v>
      </c>
      <c r="P2649" s="22">
        <f>0.144*N2649</f>
        <v>0</v>
      </c>
      <c r="Q2649" s="23">
        <f>0.00021*N2649</f>
        <v>0</v>
      </c>
      <c r="R2649" s="24"/>
      <c r="S2649" s="25" t="s">
        <v>11752</v>
      </c>
      <c r="T2649" s="25" t="s">
        <v>43</v>
      </c>
      <c r="U2649" s="5" t="s">
        <v>9293</v>
      </c>
      <c r="V2649" s="5"/>
      <c r="W2649" s="5" t="s">
        <v>46</v>
      </c>
      <c r="X2649" s="5"/>
      <c r="Y2649" s="5"/>
      <c r="Z2649" s="5" t="str">
        <f>HYPERLINK("https://knigipp.ru/api/getInfo/image/adaf4479-8e0e-11eb-a278-ac1f6b442184")</f>
        <v>https://knigipp.ru/api/getInfo/image/adaf4479-8e0e-11eb-a278-ac1f6b442184</v>
      </c>
      <c r="AA2649" s="33">
        <v>10</v>
      </c>
      <c r="AB2649" s="5"/>
      <c r="AC2649" s="5" t="s">
        <v>140</v>
      </c>
      <c r="AD2649" s="5"/>
      <c r="AE2649" s="5" t="s">
        <v>49</v>
      </c>
      <c r="AF2649" s="5"/>
      <c r="AG2649" s="5" t="s">
        <v>11342</v>
      </c>
      <c r="AH2649" s="5" t="s">
        <v>10416</v>
      </c>
    </row>
    <row r="2650" spans="2:34" ht="21" customHeight="1" outlineLevel="4" x14ac:dyDescent="0.2">
      <c r="B2650" s="42">
        <v>2125</v>
      </c>
      <c r="C2650" s="5" t="s">
        <v>11753</v>
      </c>
      <c r="D2650" s="5" t="s">
        <v>11754</v>
      </c>
      <c r="E2650" s="6" t="s">
        <v>11755</v>
      </c>
      <c r="F2650" s="10"/>
      <c r="G2650" s="11" t="s">
        <v>11404</v>
      </c>
      <c r="H2650" s="12">
        <v>40</v>
      </c>
      <c r="I2650" s="13" t="s">
        <v>41</v>
      </c>
      <c r="J2650" s="13"/>
      <c r="K2650" s="13"/>
      <c r="L2650" s="4">
        <v>5</v>
      </c>
      <c r="M2650" s="14">
        <f>127*(1-P3/100)</f>
        <v>127</v>
      </c>
      <c r="N2650" s="15"/>
      <c r="O2650" s="13">
        <f t="shared" si="114"/>
        <v>0</v>
      </c>
      <c r="P2650" s="22">
        <f>0.143*N2650</f>
        <v>0</v>
      </c>
      <c r="Q2650" s="23">
        <f>0.00021*N2650</f>
        <v>0</v>
      </c>
      <c r="R2650" s="24"/>
      <c r="S2650" s="25" t="s">
        <v>11756</v>
      </c>
      <c r="T2650" s="25" t="s">
        <v>43</v>
      </c>
      <c r="U2650" s="5"/>
      <c r="V2650" s="5" t="s">
        <v>11757</v>
      </c>
      <c r="W2650" s="5" t="s">
        <v>46</v>
      </c>
      <c r="X2650" s="5"/>
      <c r="Y2650" s="5"/>
      <c r="Z2650" s="5" t="str">
        <f>HYPERLINK("https://knigipp.ru/api/getInfo/image/9dbe887b-33d0-11eb-a25e-ac1f6b442184")</f>
        <v>https://knigipp.ru/api/getInfo/image/9dbe887b-33d0-11eb-a25e-ac1f6b442184</v>
      </c>
      <c r="AA2650" s="33">
        <v>10</v>
      </c>
      <c r="AB2650" s="5"/>
      <c r="AC2650" s="5" t="s">
        <v>140</v>
      </c>
      <c r="AD2650" s="5"/>
      <c r="AE2650" s="5" t="s">
        <v>49</v>
      </c>
      <c r="AF2650" s="5"/>
      <c r="AG2650" s="5" t="s">
        <v>11342</v>
      </c>
      <c r="AH2650" s="5" t="s">
        <v>10416</v>
      </c>
    </row>
    <row r="2651" spans="2:34" ht="21" customHeight="1" outlineLevel="4" x14ac:dyDescent="0.2">
      <c r="B2651" s="42">
        <v>2126</v>
      </c>
      <c r="C2651" s="5" t="s">
        <v>11758</v>
      </c>
      <c r="D2651" s="5" t="s">
        <v>11759</v>
      </c>
      <c r="E2651" s="6" t="s">
        <v>11760</v>
      </c>
      <c r="F2651" s="10"/>
      <c r="G2651" s="11" t="s">
        <v>11404</v>
      </c>
      <c r="H2651" s="12">
        <v>40</v>
      </c>
      <c r="I2651" s="13" t="s">
        <v>41</v>
      </c>
      <c r="J2651" s="13"/>
      <c r="K2651" s="13"/>
      <c r="L2651" s="4">
        <v>5</v>
      </c>
      <c r="M2651" s="14">
        <f>127*(1-P3/100)</f>
        <v>127</v>
      </c>
      <c r="N2651" s="15"/>
      <c r="O2651" s="13">
        <f t="shared" si="114"/>
        <v>0</v>
      </c>
      <c r="P2651" s="22">
        <f>0.109*N2651</f>
        <v>0</v>
      </c>
      <c r="Q2651" s="23">
        <f>0.00018*N2651</f>
        <v>0</v>
      </c>
      <c r="R2651" s="24"/>
      <c r="S2651" s="25" t="s">
        <v>11761</v>
      </c>
      <c r="T2651" s="25" t="s">
        <v>43</v>
      </c>
      <c r="U2651" s="5" t="s">
        <v>128</v>
      </c>
      <c r="V2651" s="5"/>
      <c r="W2651" s="5" t="s">
        <v>46</v>
      </c>
      <c r="X2651" s="5"/>
      <c r="Y2651" s="5"/>
      <c r="Z2651" s="5" t="str">
        <f>HYPERLINK("https://knigipp.ru/api/getInfo/image/6b8287df-730c-11ee-a248-00155d82e902")</f>
        <v>https://knigipp.ru/api/getInfo/image/6b8287df-730c-11ee-a248-00155d82e902</v>
      </c>
      <c r="AA2651" s="33">
        <v>10</v>
      </c>
      <c r="AB2651" s="5" t="s">
        <v>47</v>
      </c>
      <c r="AC2651" s="5" t="s">
        <v>140</v>
      </c>
      <c r="AD2651" s="5"/>
      <c r="AE2651" s="5" t="s">
        <v>49</v>
      </c>
      <c r="AF2651" s="5"/>
      <c r="AG2651" s="5" t="s">
        <v>11342</v>
      </c>
      <c r="AH2651" s="5" t="s">
        <v>10416</v>
      </c>
    </row>
    <row r="2652" spans="2:34" ht="21" customHeight="1" outlineLevel="4" x14ac:dyDescent="0.2">
      <c r="B2652" s="42">
        <v>2127</v>
      </c>
      <c r="C2652" s="5" t="s">
        <v>11762</v>
      </c>
      <c r="D2652" s="5" t="s">
        <v>11763</v>
      </c>
      <c r="E2652" s="6" t="s">
        <v>11764</v>
      </c>
      <c r="F2652" s="10"/>
      <c r="G2652" s="11" t="s">
        <v>11360</v>
      </c>
      <c r="H2652" s="12">
        <v>40</v>
      </c>
      <c r="I2652" s="13" t="s">
        <v>41</v>
      </c>
      <c r="J2652" s="13"/>
      <c r="K2652" s="13"/>
      <c r="L2652" s="4">
        <v>5</v>
      </c>
      <c r="M2652" s="14">
        <f>127*(1-P3/100)</f>
        <v>127</v>
      </c>
      <c r="N2652" s="15"/>
      <c r="O2652" s="13">
        <f t="shared" si="114"/>
        <v>0</v>
      </c>
      <c r="P2652" s="32">
        <f>0.11*N2652</f>
        <v>0</v>
      </c>
      <c r="Q2652" s="23">
        <f>0.00018*N2652</f>
        <v>0</v>
      </c>
      <c r="R2652" s="24"/>
      <c r="S2652" s="25" t="s">
        <v>11765</v>
      </c>
      <c r="T2652" s="25" t="s">
        <v>43</v>
      </c>
      <c r="U2652" s="5" t="s">
        <v>7952</v>
      </c>
      <c r="V2652" s="5"/>
      <c r="W2652" s="5" t="s">
        <v>46</v>
      </c>
      <c r="X2652" s="5"/>
      <c r="Y2652" s="5"/>
      <c r="Z2652" s="5" t="str">
        <f>HYPERLINK("https://knigipp.ru/api/getInfo/image/a4c37262-354e-11ef-a261-00155d82e908")</f>
        <v>https://knigipp.ru/api/getInfo/image/a4c37262-354e-11ef-a261-00155d82e908</v>
      </c>
      <c r="AA2652" s="33">
        <v>10</v>
      </c>
      <c r="AB2652" s="5" t="s">
        <v>47</v>
      </c>
      <c r="AC2652" s="5" t="s">
        <v>140</v>
      </c>
      <c r="AD2652" s="5"/>
      <c r="AE2652" s="5" t="s">
        <v>49</v>
      </c>
      <c r="AF2652" s="5"/>
      <c r="AG2652" s="5" t="s">
        <v>11342</v>
      </c>
      <c r="AH2652" s="5" t="s">
        <v>10416</v>
      </c>
    </row>
    <row r="2653" spans="2:34" ht="21" customHeight="1" outlineLevel="4" x14ac:dyDescent="0.2">
      <c r="B2653" s="42">
        <v>2128</v>
      </c>
      <c r="C2653" s="5" t="s">
        <v>11766</v>
      </c>
      <c r="D2653" s="5" t="s">
        <v>11767</v>
      </c>
      <c r="E2653" s="6" t="s">
        <v>11768</v>
      </c>
      <c r="F2653" s="10"/>
      <c r="G2653" s="11" t="s">
        <v>11360</v>
      </c>
      <c r="H2653" s="12">
        <v>40</v>
      </c>
      <c r="I2653" s="13" t="s">
        <v>41</v>
      </c>
      <c r="J2653" s="13"/>
      <c r="K2653" s="13"/>
      <c r="L2653" s="4">
        <v>5</v>
      </c>
      <c r="M2653" s="14">
        <f>127*(1-P3/100)</f>
        <v>127</v>
      </c>
      <c r="N2653" s="15"/>
      <c r="O2653" s="13">
        <f t="shared" si="114"/>
        <v>0</v>
      </c>
      <c r="P2653" s="32">
        <f>0.11*N2653</f>
        <v>0</v>
      </c>
      <c r="Q2653" s="23">
        <f>0.00018*N2653</f>
        <v>0</v>
      </c>
      <c r="R2653" s="24"/>
      <c r="S2653" s="25" t="s">
        <v>11769</v>
      </c>
      <c r="T2653" s="25" t="s">
        <v>43</v>
      </c>
      <c r="U2653" s="5"/>
      <c r="V2653" s="5"/>
      <c r="W2653" s="5" t="s">
        <v>46</v>
      </c>
      <c r="X2653" s="5"/>
      <c r="Y2653" s="5"/>
      <c r="Z2653" s="5" t="str">
        <f>HYPERLINK("https://knigipp.ru/api/getInfo/image/6f4ba90f-354e-11ef-a261-00155d82e908")</f>
        <v>https://knigipp.ru/api/getInfo/image/6f4ba90f-354e-11ef-a261-00155d82e908</v>
      </c>
      <c r="AA2653" s="33">
        <v>10</v>
      </c>
      <c r="AB2653" s="5" t="s">
        <v>47</v>
      </c>
      <c r="AC2653" s="5" t="s">
        <v>140</v>
      </c>
      <c r="AD2653" s="5"/>
      <c r="AE2653" s="5" t="s">
        <v>49</v>
      </c>
      <c r="AF2653" s="5"/>
      <c r="AG2653" s="5" t="s">
        <v>11342</v>
      </c>
      <c r="AH2653" s="5" t="s">
        <v>10416</v>
      </c>
    </row>
    <row r="2654" spans="2:34" ht="21" customHeight="1" outlineLevel="4" x14ac:dyDescent="0.2">
      <c r="B2654" s="42">
        <v>2129</v>
      </c>
      <c r="C2654" s="5" t="s">
        <v>11770</v>
      </c>
      <c r="D2654" s="5" t="s">
        <v>11771</v>
      </c>
      <c r="E2654" s="6" t="s">
        <v>11772</v>
      </c>
      <c r="F2654" s="10"/>
      <c r="G2654" s="11" t="s">
        <v>11404</v>
      </c>
      <c r="H2654" s="12">
        <v>40</v>
      </c>
      <c r="I2654" s="13" t="s">
        <v>41</v>
      </c>
      <c r="J2654" s="13"/>
      <c r="K2654" s="13"/>
      <c r="L2654" s="4">
        <v>5</v>
      </c>
      <c r="M2654" s="14">
        <f>127*(1-P3/100)</f>
        <v>127</v>
      </c>
      <c r="N2654" s="15"/>
      <c r="O2654" s="13">
        <f t="shared" si="114"/>
        <v>0</v>
      </c>
      <c r="P2654" s="22">
        <f>0.144*N2654</f>
        <v>0</v>
      </c>
      <c r="Q2654" s="23">
        <f>0.00021*N2654</f>
        <v>0</v>
      </c>
      <c r="R2654" s="24"/>
      <c r="S2654" s="25" t="s">
        <v>11773</v>
      </c>
      <c r="T2654" s="25" t="s">
        <v>43</v>
      </c>
      <c r="U2654" s="5"/>
      <c r="V2654" s="5" t="s">
        <v>11774</v>
      </c>
      <c r="W2654" s="5" t="s">
        <v>46</v>
      </c>
      <c r="X2654" s="5"/>
      <c r="Y2654" s="5"/>
      <c r="Z2654" s="5" t="str">
        <f>HYPERLINK("https://knigipp.ru/api/getInfo/image/d98d6206-eb66-11ea-a254-ac1f6b442184")</f>
        <v>https://knigipp.ru/api/getInfo/image/d98d6206-eb66-11ea-a254-ac1f6b442184</v>
      </c>
      <c r="AA2654" s="33">
        <v>10</v>
      </c>
      <c r="AB2654" s="5"/>
      <c r="AC2654" s="5" t="s">
        <v>140</v>
      </c>
      <c r="AD2654" s="5"/>
      <c r="AE2654" s="5" t="s">
        <v>49</v>
      </c>
      <c r="AF2654" s="5"/>
      <c r="AG2654" s="5" t="s">
        <v>11342</v>
      </c>
      <c r="AH2654" s="5" t="s">
        <v>10416</v>
      </c>
    </row>
    <row r="2655" spans="2:34" ht="21" customHeight="1" outlineLevel="4" x14ac:dyDescent="0.2">
      <c r="B2655" s="42">
        <v>2130</v>
      </c>
      <c r="C2655" s="5" t="s">
        <v>11775</v>
      </c>
      <c r="D2655" s="5" t="s">
        <v>11776</v>
      </c>
      <c r="E2655" s="6" t="s">
        <v>11777</v>
      </c>
      <c r="F2655" s="10"/>
      <c r="G2655" s="11" t="s">
        <v>11404</v>
      </c>
      <c r="H2655" s="12">
        <v>40</v>
      </c>
      <c r="I2655" s="13" t="s">
        <v>41</v>
      </c>
      <c r="J2655" s="13"/>
      <c r="K2655" s="13"/>
      <c r="L2655" s="4">
        <v>5</v>
      </c>
      <c r="M2655" s="14">
        <f>127*(1-P3/100)</f>
        <v>127</v>
      </c>
      <c r="N2655" s="15"/>
      <c r="O2655" s="13">
        <f t="shared" si="114"/>
        <v>0</v>
      </c>
      <c r="P2655" s="22">
        <f>0.144*N2655</f>
        <v>0</v>
      </c>
      <c r="Q2655" s="23">
        <f>0.00021*N2655</f>
        <v>0</v>
      </c>
      <c r="R2655" s="24"/>
      <c r="S2655" s="25" t="s">
        <v>11778</v>
      </c>
      <c r="T2655" s="25" t="s">
        <v>43</v>
      </c>
      <c r="U2655" s="5"/>
      <c r="V2655" s="5"/>
      <c r="W2655" s="5" t="s">
        <v>46</v>
      </c>
      <c r="X2655" s="5"/>
      <c r="Y2655" s="5"/>
      <c r="Z2655" s="5" t="str">
        <f>HYPERLINK("https://knigipp.ru/api/getInfo/image/bb07a340-eb66-11ea-a254-ac1f6b442184")</f>
        <v>https://knigipp.ru/api/getInfo/image/bb07a340-eb66-11ea-a254-ac1f6b442184</v>
      </c>
      <c r="AA2655" s="33">
        <v>10</v>
      </c>
      <c r="AB2655" s="5"/>
      <c r="AC2655" s="5" t="s">
        <v>140</v>
      </c>
      <c r="AD2655" s="5"/>
      <c r="AE2655" s="5" t="s">
        <v>49</v>
      </c>
      <c r="AF2655" s="5"/>
      <c r="AG2655" s="5" t="s">
        <v>11342</v>
      </c>
      <c r="AH2655" s="5" t="s">
        <v>10416</v>
      </c>
    </row>
    <row r="2656" spans="2:34" ht="21" customHeight="1" outlineLevel="4" x14ac:dyDescent="0.2">
      <c r="B2656" s="42">
        <v>2131</v>
      </c>
      <c r="C2656" s="5" t="s">
        <v>11779</v>
      </c>
      <c r="D2656" s="5" t="s">
        <v>11780</v>
      </c>
      <c r="E2656" s="6" t="s">
        <v>11781</v>
      </c>
      <c r="F2656" s="10"/>
      <c r="G2656" s="11" t="s">
        <v>11404</v>
      </c>
      <c r="H2656" s="12">
        <v>40</v>
      </c>
      <c r="I2656" s="13" t="s">
        <v>371</v>
      </c>
      <c r="J2656" s="13"/>
      <c r="K2656" s="13"/>
      <c r="L2656" s="4">
        <v>5</v>
      </c>
      <c r="M2656" s="14">
        <f>127*(1-P3/100)</f>
        <v>127</v>
      </c>
      <c r="N2656" s="15"/>
      <c r="O2656" s="13">
        <f t="shared" si="114"/>
        <v>0</v>
      </c>
      <c r="P2656" s="22">
        <f>0.109*N2656</f>
        <v>0</v>
      </c>
      <c r="Q2656" s="23">
        <f>0.00025*N2656</f>
        <v>0</v>
      </c>
      <c r="R2656" s="24"/>
      <c r="S2656" s="25" t="s">
        <v>11782</v>
      </c>
      <c r="T2656" s="25" t="s">
        <v>43</v>
      </c>
      <c r="U2656" s="5" t="s">
        <v>7613</v>
      </c>
      <c r="V2656" s="5"/>
      <c r="W2656" s="5" t="s">
        <v>46</v>
      </c>
      <c r="X2656" s="5" t="s">
        <v>253</v>
      </c>
      <c r="Y2656" s="5"/>
      <c r="Z2656" s="5" t="str">
        <f>HYPERLINK("https://knigipp.ru/api/getInfo/image/8a0d9a54-c686-11e1-81d3-5ef3fc502493")</f>
        <v>https://knigipp.ru/api/getInfo/image/8a0d9a54-c686-11e1-81d3-5ef3fc502493</v>
      </c>
      <c r="AA2656" s="33">
        <v>10</v>
      </c>
      <c r="AB2656" s="5"/>
      <c r="AC2656" s="5" t="s">
        <v>140</v>
      </c>
      <c r="AD2656" s="5"/>
      <c r="AE2656" s="5" t="s">
        <v>49</v>
      </c>
      <c r="AF2656" s="5"/>
      <c r="AG2656" s="5" t="s">
        <v>11342</v>
      </c>
      <c r="AH2656" s="5" t="s">
        <v>10416</v>
      </c>
    </row>
    <row r="2657" spans="2:35" ht="21" customHeight="1" outlineLevel="4" x14ac:dyDescent="0.2">
      <c r="B2657" s="42">
        <v>2132</v>
      </c>
      <c r="C2657" s="5" t="s">
        <v>11783</v>
      </c>
      <c r="D2657" s="5" t="s">
        <v>11784</v>
      </c>
      <c r="E2657" s="6" t="s">
        <v>11785</v>
      </c>
      <c r="F2657" s="10"/>
      <c r="G2657" s="11" t="s">
        <v>11404</v>
      </c>
      <c r="H2657" s="12">
        <v>40</v>
      </c>
      <c r="I2657" s="13" t="s">
        <v>41</v>
      </c>
      <c r="J2657" s="13"/>
      <c r="K2657" s="13"/>
      <c r="L2657" s="4">
        <v>5</v>
      </c>
      <c r="M2657" s="14">
        <f>127*(1-P3/100)</f>
        <v>127</v>
      </c>
      <c r="N2657" s="15"/>
      <c r="O2657" s="13">
        <f t="shared" si="114"/>
        <v>0</v>
      </c>
      <c r="P2657" s="22">
        <f>0.144*N2657</f>
        <v>0</v>
      </c>
      <c r="Q2657" s="23">
        <f>0.00021*N2657</f>
        <v>0</v>
      </c>
      <c r="R2657" s="24"/>
      <c r="S2657" s="25" t="s">
        <v>11786</v>
      </c>
      <c r="T2657" s="25" t="s">
        <v>43</v>
      </c>
      <c r="U2657" s="5" t="s">
        <v>157</v>
      </c>
      <c r="V2657" s="5"/>
      <c r="W2657" s="5" t="s">
        <v>46</v>
      </c>
      <c r="X2657" s="5"/>
      <c r="Y2657" s="5"/>
      <c r="Z2657" s="5" t="str">
        <f>HYPERLINK("https://knigipp.ru/api/getInfo/image/f71455b2-8e0e-11eb-a278-ac1f6b442184")</f>
        <v>https://knigipp.ru/api/getInfo/image/f71455b2-8e0e-11eb-a278-ac1f6b442184</v>
      </c>
      <c r="AA2657" s="33">
        <v>10</v>
      </c>
      <c r="AB2657" s="5"/>
      <c r="AC2657" s="5" t="s">
        <v>140</v>
      </c>
      <c r="AD2657" s="5"/>
      <c r="AE2657" s="5" t="s">
        <v>49</v>
      </c>
      <c r="AF2657" s="5"/>
      <c r="AG2657" s="5" t="s">
        <v>11342</v>
      </c>
      <c r="AH2657" s="5" t="s">
        <v>10416</v>
      </c>
    </row>
    <row r="2658" spans="2:35" ht="21" customHeight="1" outlineLevel="4" x14ac:dyDescent="0.2">
      <c r="B2658" s="42">
        <v>2133</v>
      </c>
      <c r="C2658" s="5" t="s">
        <v>11787</v>
      </c>
      <c r="D2658" s="5" t="s">
        <v>11788</v>
      </c>
      <c r="E2658" s="6" t="s">
        <v>11789</v>
      </c>
      <c r="F2658" s="10"/>
      <c r="G2658" s="11" t="s">
        <v>11360</v>
      </c>
      <c r="H2658" s="12">
        <v>40</v>
      </c>
      <c r="I2658" s="13" t="s">
        <v>41</v>
      </c>
      <c r="J2658" s="13"/>
      <c r="K2658" s="13"/>
      <c r="L2658" s="4">
        <v>5</v>
      </c>
      <c r="M2658" s="14">
        <f>127*(1-P3/100)</f>
        <v>127</v>
      </c>
      <c r="N2658" s="15"/>
      <c r="O2658" s="13">
        <f t="shared" si="114"/>
        <v>0</v>
      </c>
      <c r="P2658" s="22">
        <f>0.109*N2658</f>
        <v>0</v>
      </c>
      <c r="Q2658" s="23">
        <f>0.00018*N2658</f>
        <v>0</v>
      </c>
      <c r="R2658" s="24"/>
      <c r="S2658" s="25" t="s">
        <v>11790</v>
      </c>
      <c r="T2658" s="25" t="s">
        <v>43</v>
      </c>
      <c r="U2658" s="5"/>
      <c r="V2658" s="5" t="s">
        <v>11791</v>
      </c>
      <c r="W2658" s="5" t="s">
        <v>46</v>
      </c>
      <c r="X2658" s="5"/>
      <c r="Y2658" s="5"/>
      <c r="Z2658" s="5" t="str">
        <f>HYPERLINK("https://knigipp.ru/api/getInfo/image/68bc2068-354f-11ef-a261-00155d82e908")</f>
        <v>https://knigipp.ru/api/getInfo/image/68bc2068-354f-11ef-a261-00155d82e908</v>
      </c>
      <c r="AA2658" s="33">
        <v>10</v>
      </c>
      <c r="AB2658" s="5"/>
      <c r="AC2658" s="5" t="s">
        <v>140</v>
      </c>
      <c r="AD2658" s="5"/>
      <c r="AE2658" s="5" t="s">
        <v>49</v>
      </c>
      <c r="AF2658" s="5"/>
      <c r="AG2658" s="5" t="s">
        <v>11342</v>
      </c>
      <c r="AH2658" s="5" t="s">
        <v>10416</v>
      </c>
    </row>
    <row r="2659" spans="2:35" ht="21" customHeight="1" outlineLevel="4" x14ac:dyDescent="0.2">
      <c r="B2659" s="42">
        <v>2134</v>
      </c>
      <c r="C2659" s="5" t="s">
        <v>11792</v>
      </c>
      <c r="D2659" s="5" t="s">
        <v>11793</v>
      </c>
      <c r="E2659" s="6" t="s">
        <v>11794</v>
      </c>
      <c r="F2659" s="10"/>
      <c r="G2659" s="11" t="s">
        <v>11523</v>
      </c>
      <c r="H2659" s="12">
        <v>40</v>
      </c>
      <c r="I2659" s="13" t="s">
        <v>41</v>
      </c>
      <c r="J2659" s="13"/>
      <c r="K2659" s="13"/>
      <c r="L2659" s="4">
        <v>5</v>
      </c>
      <c r="M2659" s="14">
        <f>127*(1-P3/100)</f>
        <v>127</v>
      </c>
      <c r="N2659" s="15"/>
      <c r="O2659" s="13">
        <f t="shared" si="114"/>
        <v>0</v>
      </c>
      <c r="P2659" s="22">
        <f>0.144*N2659</f>
        <v>0</v>
      </c>
      <c r="Q2659" s="23">
        <f>0.00021*N2659</f>
        <v>0</v>
      </c>
      <c r="R2659" s="24"/>
      <c r="S2659" s="25" t="s">
        <v>11795</v>
      </c>
      <c r="T2659" s="25" t="s">
        <v>43</v>
      </c>
      <c r="U2659" s="5"/>
      <c r="V2659" s="5"/>
      <c r="W2659" s="5" t="s">
        <v>46</v>
      </c>
      <c r="X2659" s="5"/>
      <c r="Y2659" s="5"/>
      <c r="Z2659" s="5" t="str">
        <f>HYPERLINK("https://knigipp.ru/api/getInfo/image/7c3dd2b2-33d0-11eb-a25e-ac1f6b442184")</f>
        <v>https://knigipp.ru/api/getInfo/image/7c3dd2b2-33d0-11eb-a25e-ac1f6b442184</v>
      </c>
      <c r="AA2659" s="33">
        <v>10</v>
      </c>
      <c r="AB2659" s="5"/>
      <c r="AC2659" s="5" t="s">
        <v>140</v>
      </c>
      <c r="AD2659" s="5"/>
      <c r="AE2659" s="5" t="s">
        <v>49</v>
      </c>
      <c r="AF2659" s="5"/>
      <c r="AG2659" s="5" t="s">
        <v>11342</v>
      </c>
      <c r="AH2659" s="5" t="s">
        <v>10416</v>
      </c>
    </row>
    <row r="2660" spans="2:35" ht="21" customHeight="1" outlineLevel="4" x14ac:dyDescent="0.2">
      <c r="B2660" s="42">
        <v>2135</v>
      </c>
      <c r="C2660" s="5" t="s">
        <v>11796</v>
      </c>
      <c r="D2660" s="5" t="s">
        <v>11797</v>
      </c>
      <c r="E2660" s="6" t="s">
        <v>11798</v>
      </c>
      <c r="F2660" s="10"/>
      <c r="G2660" s="11" t="s">
        <v>11799</v>
      </c>
      <c r="H2660" s="12">
        <v>40</v>
      </c>
      <c r="I2660" s="13" t="s">
        <v>41</v>
      </c>
      <c r="J2660" s="13"/>
      <c r="K2660" s="13"/>
      <c r="L2660" s="4">
        <v>5</v>
      </c>
      <c r="M2660" s="14">
        <f>127*(1-P3/100)</f>
        <v>127</v>
      </c>
      <c r="N2660" s="15"/>
      <c r="O2660" s="13">
        <f t="shared" si="114"/>
        <v>0</v>
      </c>
      <c r="P2660" s="32">
        <f>0.11*N2660</f>
        <v>0</v>
      </c>
      <c r="Q2660" s="23">
        <f>0.00022*N2660</f>
        <v>0</v>
      </c>
      <c r="R2660" s="24"/>
      <c r="S2660" s="25" t="s">
        <v>11800</v>
      </c>
      <c r="T2660" s="25" t="s">
        <v>43</v>
      </c>
      <c r="U2660" s="5"/>
      <c r="V2660" s="5" t="s">
        <v>11801</v>
      </c>
      <c r="W2660" s="5" t="s">
        <v>46</v>
      </c>
      <c r="X2660" s="5"/>
      <c r="Y2660" s="5"/>
      <c r="Z2660" s="5" t="str">
        <f>HYPERLINK("https://knigipp.ru/api/getInfo/image/caa78216-9e0d-11f0-a285-00155d82e908")</f>
        <v>https://knigipp.ru/api/getInfo/image/caa78216-9e0d-11f0-a285-00155d82e908</v>
      </c>
      <c r="AA2660" s="33">
        <v>10</v>
      </c>
      <c r="AB2660" s="5" t="s">
        <v>47</v>
      </c>
      <c r="AC2660" s="5" t="s">
        <v>140</v>
      </c>
      <c r="AD2660" s="5"/>
      <c r="AE2660" s="5" t="s">
        <v>49</v>
      </c>
      <c r="AF2660" s="5"/>
      <c r="AG2660" s="5"/>
      <c r="AH2660" s="5" t="s">
        <v>10416</v>
      </c>
    </row>
    <row r="2661" spans="2:35" ht="21" customHeight="1" outlineLevel="4" x14ac:dyDescent="0.2">
      <c r="B2661" s="42">
        <v>2136</v>
      </c>
      <c r="C2661" s="5" t="s">
        <v>11802</v>
      </c>
      <c r="D2661" s="5" t="s">
        <v>11803</v>
      </c>
      <c r="E2661" s="6" t="s">
        <v>11804</v>
      </c>
      <c r="F2661" s="10"/>
      <c r="G2661" s="11" t="s">
        <v>11799</v>
      </c>
      <c r="H2661" s="12">
        <v>40</v>
      </c>
      <c r="I2661" s="13" t="s">
        <v>41</v>
      </c>
      <c r="J2661" s="13"/>
      <c r="K2661" s="13"/>
      <c r="L2661" s="4">
        <v>5</v>
      </c>
      <c r="M2661" s="14">
        <f>127*(1-P3/100)</f>
        <v>127</v>
      </c>
      <c r="N2661" s="15"/>
      <c r="O2661" s="13">
        <f t="shared" si="114"/>
        <v>0</v>
      </c>
      <c r="P2661" s="32">
        <f>0.11*N2661</f>
        <v>0</v>
      </c>
      <c r="Q2661" s="23">
        <f>0.00022*N2661</f>
        <v>0</v>
      </c>
      <c r="R2661" s="24"/>
      <c r="S2661" s="25" t="s">
        <v>11805</v>
      </c>
      <c r="T2661" s="25" t="s">
        <v>43</v>
      </c>
      <c r="U2661" s="5"/>
      <c r="V2661" s="5" t="s">
        <v>11806</v>
      </c>
      <c r="W2661" s="5" t="s">
        <v>46</v>
      </c>
      <c r="X2661" s="5"/>
      <c r="Y2661" s="5"/>
      <c r="Z2661" s="5" t="str">
        <f>HYPERLINK("https://knigipp.ru/api/getInfo/image/3bbfc69c-9e08-11f0-a285-00155d82e908")</f>
        <v>https://knigipp.ru/api/getInfo/image/3bbfc69c-9e08-11f0-a285-00155d82e908</v>
      </c>
      <c r="AA2661" s="33">
        <v>10</v>
      </c>
      <c r="AB2661" s="5" t="s">
        <v>47</v>
      </c>
      <c r="AC2661" s="5" t="s">
        <v>140</v>
      </c>
      <c r="AD2661" s="5"/>
      <c r="AE2661" s="5" t="s">
        <v>49</v>
      </c>
      <c r="AF2661" s="5"/>
      <c r="AG2661" s="5"/>
      <c r="AH2661" s="5" t="s">
        <v>10416</v>
      </c>
    </row>
    <row r="2662" spans="2:35" ht="21" customHeight="1" outlineLevel="4" x14ac:dyDescent="0.2">
      <c r="B2662" s="42">
        <v>2137</v>
      </c>
      <c r="C2662" s="5" t="s">
        <v>11807</v>
      </c>
      <c r="D2662" s="5" t="s">
        <v>11808</v>
      </c>
      <c r="E2662" s="6" t="s">
        <v>11809</v>
      </c>
      <c r="F2662" s="10"/>
      <c r="G2662" s="11" t="s">
        <v>11799</v>
      </c>
      <c r="H2662" s="12">
        <v>40</v>
      </c>
      <c r="I2662" s="13" t="s">
        <v>41</v>
      </c>
      <c r="J2662" s="13"/>
      <c r="K2662" s="13"/>
      <c r="L2662" s="4">
        <v>5</v>
      </c>
      <c r="M2662" s="14">
        <f>127*(1-P3/100)</f>
        <v>127</v>
      </c>
      <c r="N2662" s="15"/>
      <c r="O2662" s="13">
        <f t="shared" si="114"/>
        <v>0</v>
      </c>
      <c r="P2662" s="22">
        <f>0.112*N2662</f>
        <v>0</v>
      </c>
      <c r="Q2662" s="23">
        <f>0.00022*N2662</f>
        <v>0</v>
      </c>
      <c r="R2662" s="24"/>
      <c r="S2662" s="25" t="s">
        <v>11810</v>
      </c>
      <c r="T2662" s="25" t="s">
        <v>43</v>
      </c>
      <c r="U2662" s="5"/>
      <c r="V2662" s="5" t="s">
        <v>11811</v>
      </c>
      <c r="W2662" s="5" t="s">
        <v>46</v>
      </c>
      <c r="X2662" s="5"/>
      <c r="Y2662" s="5"/>
      <c r="Z2662" s="5" t="str">
        <f>HYPERLINK("https://knigipp.ru/api/getInfo/image/95fd267f-9e0d-11f0-a285-00155d82e908")</f>
        <v>https://knigipp.ru/api/getInfo/image/95fd267f-9e0d-11f0-a285-00155d82e908</v>
      </c>
      <c r="AA2662" s="33">
        <v>10</v>
      </c>
      <c r="AB2662" s="5" t="s">
        <v>47</v>
      </c>
      <c r="AC2662" s="5" t="s">
        <v>140</v>
      </c>
      <c r="AD2662" s="5"/>
      <c r="AE2662" s="5" t="s">
        <v>49</v>
      </c>
      <c r="AF2662" s="5"/>
      <c r="AG2662" s="5"/>
      <c r="AH2662" s="5" t="s">
        <v>10416</v>
      </c>
    </row>
    <row r="2663" spans="2:35" ht="21" customHeight="1" outlineLevel="4" x14ac:dyDescent="0.2">
      <c r="B2663" s="42">
        <v>2138</v>
      </c>
      <c r="C2663" s="5" t="s">
        <v>11812</v>
      </c>
      <c r="D2663" s="5" t="s">
        <v>11813</v>
      </c>
      <c r="E2663" s="6" t="s">
        <v>11814</v>
      </c>
      <c r="F2663" s="10"/>
      <c r="G2663" s="11" t="s">
        <v>11799</v>
      </c>
      <c r="H2663" s="12">
        <v>40</v>
      </c>
      <c r="I2663" s="13" t="s">
        <v>41</v>
      </c>
      <c r="J2663" s="13"/>
      <c r="K2663" s="13"/>
      <c r="L2663" s="4">
        <v>5</v>
      </c>
      <c r="M2663" s="14">
        <f>127*(1-P3/100)</f>
        <v>127</v>
      </c>
      <c r="N2663" s="15"/>
      <c r="O2663" s="13">
        <f t="shared" si="114"/>
        <v>0</v>
      </c>
      <c r="P2663" s="22">
        <f>0.112*N2663</f>
        <v>0</v>
      </c>
      <c r="Q2663" s="23">
        <f>0.00022*N2663</f>
        <v>0</v>
      </c>
      <c r="R2663" s="24"/>
      <c r="S2663" s="25" t="s">
        <v>11815</v>
      </c>
      <c r="T2663" s="25" t="s">
        <v>43</v>
      </c>
      <c r="U2663" s="5"/>
      <c r="V2663" s="5" t="s">
        <v>11816</v>
      </c>
      <c r="W2663" s="5" t="s">
        <v>46</v>
      </c>
      <c r="X2663" s="5"/>
      <c r="Y2663" s="5"/>
      <c r="Z2663" s="5" t="str">
        <f>HYPERLINK("https://knigipp.ru/api/getInfo/image/6fa38010-9e0d-11f0-a285-00155d82e908")</f>
        <v>https://knigipp.ru/api/getInfo/image/6fa38010-9e0d-11f0-a285-00155d82e908</v>
      </c>
      <c r="AA2663" s="33">
        <v>10</v>
      </c>
      <c r="AB2663" s="5" t="s">
        <v>47</v>
      </c>
      <c r="AC2663" s="5" t="s">
        <v>140</v>
      </c>
      <c r="AD2663" s="5"/>
      <c r="AE2663" s="5" t="s">
        <v>49</v>
      </c>
      <c r="AF2663" s="5"/>
      <c r="AG2663" s="5"/>
      <c r="AH2663" s="5" t="s">
        <v>10416</v>
      </c>
    </row>
    <row r="2664" spans="2:35" ht="21" customHeight="1" outlineLevel="4" x14ac:dyDescent="0.2">
      <c r="B2664" s="43">
        <v>2139</v>
      </c>
      <c r="C2664" s="8" t="s">
        <v>11817</v>
      </c>
      <c r="D2664" s="8" t="s">
        <v>11818</v>
      </c>
      <c r="E2664" s="9" t="s">
        <v>11819</v>
      </c>
      <c r="F2664" s="16"/>
      <c r="G2664" s="17" t="s">
        <v>11340</v>
      </c>
      <c r="H2664" s="18">
        <v>40</v>
      </c>
      <c r="I2664" s="19" t="s">
        <v>41</v>
      </c>
      <c r="J2664" s="19"/>
      <c r="K2664" s="19"/>
      <c r="L2664" s="7">
        <v>5</v>
      </c>
      <c r="M2664" s="21">
        <f>127*(1-P3/100)</f>
        <v>127</v>
      </c>
      <c r="N2664" s="15"/>
      <c r="O2664" s="19">
        <f t="shared" si="114"/>
        <v>0</v>
      </c>
      <c r="P2664" s="38">
        <f>0.19*N2664</f>
        <v>0</v>
      </c>
      <c r="Q2664" s="27">
        <f>0.00028*N2664</f>
        <v>0</v>
      </c>
      <c r="R2664" s="28" t="s">
        <v>81</v>
      </c>
      <c r="S2664" s="29" t="s">
        <v>11820</v>
      </c>
      <c r="T2664" s="29" t="s">
        <v>43</v>
      </c>
      <c r="U2664" s="8" t="s">
        <v>128</v>
      </c>
      <c r="V2664" s="8"/>
      <c r="W2664" s="8" t="s">
        <v>46</v>
      </c>
      <c r="X2664" s="8"/>
      <c r="Y2664" s="8"/>
      <c r="Z2664" s="8" t="str">
        <f>HYPERLINK("https://knigipp.ru/api/getInfo/image/196f46a0-e573-11f0-a28c-00155d82e908")</f>
        <v>https://knigipp.ru/api/getInfo/image/196f46a0-e573-11f0-a28c-00155d82e908</v>
      </c>
      <c r="AA2664" s="34">
        <v>10</v>
      </c>
      <c r="AB2664" s="8" t="s">
        <v>47</v>
      </c>
      <c r="AC2664" s="8" t="s">
        <v>140</v>
      </c>
      <c r="AD2664" s="8"/>
      <c r="AE2664" s="8" t="s">
        <v>49</v>
      </c>
      <c r="AF2664" s="8"/>
      <c r="AG2664" s="8" t="s">
        <v>11342</v>
      </c>
      <c r="AH2664" s="8" t="s">
        <v>10416</v>
      </c>
      <c r="AI2664" s="55"/>
    </row>
    <row r="2665" spans="2:35" ht="22.95" customHeight="1" outlineLevel="3" x14ac:dyDescent="0.2">
      <c r="B2665" s="74" t="s">
        <v>11821</v>
      </c>
      <c r="C2665" s="74"/>
      <c r="D2665" s="74"/>
    </row>
    <row r="2666" spans="2:35" ht="21" customHeight="1" outlineLevel="4" x14ac:dyDescent="0.2">
      <c r="B2666" s="42">
        <v>2140</v>
      </c>
      <c r="C2666" s="5" t="s">
        <v>11822</v>
      </c>
      <c r="D2666" s="5" t="s">
        <v>11823</v>
      </c>
      <c r="E2666" s="6" t="s">
        <v>11824</v>
      </c>
      <c r="F2666" s="10"/>
      <c r="G2666" s="11" t="s">
        <v>11825</v>
      </c>
      <c r="H2666" s="12">
        <v>48</v>
      </c>
      <c r="I2666" s="13" t="s">
        <v>41</v>
      </c>
      <c r="J2666" s="13"/>
      <c r="K2666" s="13"/>
      <c r="L2666" s="4">
        <v>8</v>
      </c>
      <c r="M2666" s="14">
        <f>87*(1-P3/100)</f>
        <v>87</v>
      </c>
      <c r="N2666" s="15"/>
      <c r="O2666" s="13">
        <f t="shared" ref="O2666:O2729" si="115">M2666*N2666</f>
        <v>0</v>
      </c>
      <c r="P2666" s="22">
        <f>0.053*N2666</f>
        <v>0</v>
      </c>
      <c r="Q2666" s="23">
        <f>0.00007*N2666</f>
        <v>0</v>
      </c>
      <c r="R2666" s="24"/>
      <c r="S2666" s="25" t="s">
        <v>11826</v>
      </c>
      <c r="T2666" s="25" t="s">
        <v>43</v>
      </c>
      <c r="U2666" s="5" t="s">
        <v>157</v>
      </c>
      <c r="V2666" s="5" t="s">
        <v>11827</v>
      </c>
      <c r="W2666" s="5" t="s">
        <v>46</v>
      </c>
      <c r="X2666" s="5"/>
      <c r="Y2666" s="5"/>
      <c r="Z2666" s="5" t="str">
        <f>HYPERLINK("https://knigipp.ru/api/getInfo/image/646a752b-25c2-11f0-a279-00155d82e908")</f>
        <v>https://knigipp.ru/api/getInfo/image/646a752b-25c2-11f0-a279-00155d82e908</v>
      </c>
      <c r="AA2666" s="33">
        <v>10</v>
      </c>
      <c r="AB2666" s="5" t="s">
        <v>47</v>
      </c>
      <c r="AC2666" s="5" t="s">
        <v>140</v>
      </c>
      <c r="AD2666" s="5"/>
      <c r="AE2666" s="5" t="s">
        <v>49</v>
      </c>
      <c r="AF2666" s="5"/>
      <c r="AG2666" s="5"/>
      <c r="AH2666" s="5" t="s">
        <v>11828</v>
      </c>
    </row>
    <row r="2667" spans="2:35" ht="21" customHeight="1" outlineLevel="4" x14ac:dyDescent="0.2">
      <c r="B2667" s="42">
        <v>2141</v>
      </c>
      <c r="C2667" s="5" t="s">
        <v>11829</v>
      </c>
      <c r="D2667" s="5" t="s">
        <v>11830</v>
      </c>
      <c r="E2667" s="6" t="s">
        <v>11831</v>
      </c>
      <c r="F2667" s="10"/>
      <c r="G2667" s="11" t="s">
        <v>11825</v>
      </c>
      <c r="H2667" s="12">
        <v>48</v>
      </c>
      <c r="I2667" s="13" t="s">
        <v>41</v>
      </c>
      <c r="J2667" s="13"/>
      <c r="K2667" s="13"/>
      <c r="L2667" s="4">
        <v>8</v>
      </c>
      <c r="M2667" s="14">
        <f>87*(1-P3/100)</f>
        <v>87</v>
      </c>
      <c r="N2667" s="15"/>
      <c r="O2667" s="13">
        <f t="shared" si="115"/>
        <v>0</v>
      </c>
      <c r="P2667" s="22">
        <f>0.055*N2667</f>
        <v>0</v>
      </c>
      <c r="Q2667" s="23">
        <f>0.00007*N2667</f>
        <v>0</v>
      </c>
      <c r="R2667" s="24"/>
      <c r="S2667" s="25" t="s">
        <v>11832</v>
      </c>
      <c r="T2667" s="25" t="s">
        <v>43</v>
      </c>
      <c r="U2667" s="5"/>
      <c r="V2667" s="5" t="s">
        <v>11833</v>
      </c>
      <c r="W2667" s="5" t="s">
        <v>46</v>
      </c>
      <c r="X2667" s="5"/>
      <c r="Y2667" s="5"/>
      <c r="Z2667" s="5" t="str">
        <f>HYPERLINK("https://knigipp.ru/api/getInfo/image/93889b24-25c2-11f0-a279-00155d82e908")</f>
        <v>https://knigipp.ru/api/getInfo/image/93889b24-25c2-11f0-a279-00155d82e908</v>
      </c>
      <c r="AA2667" s="33">
        <v>10</v>
      </c>
      <c r="AB2667" s="5" t="s">
        <v>47</v>
      </c>
      <c r="AC2667" s="5" t="s">
        <v>140</v>
      </c>
      <c r="AD2667" s="5"/>
      <c r="AE2667" s="5" t="s">
        <v>49</v>
      </c>
      <c r="AF2667" s="5"/>
      <c r="AG2667" s="5"/>
      <c r="AH2667" s="5" t="s">
        <v>11828</v>
      </c>
    </row>
    <row r="2668" spans="2:35" ht="21" customHeight="1" outlineLevel="4" x14ac:dyDescent="0.2">
      <c r="B2668" s="43">
        <v>2142</v>
      </c>
      <c r="C2668" s="8" t="s">
        <v>11834</v>
      </c>
      <c r="D2668" s="8" t="s">
        <v>11835</v>
      </c>
      <c r="E2668" s="9" t="s">
        <v>11836</v>
      </c>
      <c r="F2668" s="16"/>
      <c r="G2668" s="17" t="s">
        <v>11837</v>
      </c>
      <c r="H2668" s="18">
        <v>48</v>
      </c>
      <c r="I2668" s="19" t="s">
        <v>41</v>
      </c>
      <c r="J2668" s="19"/>
      <c r="K2668" s="19"/>
      <c r="L2668" s="7">
        <v>8</v>
      </c>
      <c r="M2668" s="21">
        <f>87*(1-P3/100)</f>
        <v>87</v>
      </c>
      <c r="N2668" s="15"/>
      <c r="O2668" s="19">
        <f t="shared" si="115"/>
        <v>0</v>
      </c>
      <c r="P2668" s="26">
        <f>0.048*N2668</f>
        <v>0</v>
      </c>
      <c r="Q2668" s="27">
        <f>0.00009*N2668</f>
        <v>0</v>
      </c>
      <c r="R2668" s="28" t="s">
        <v>81</v>
      </c>
      <c r="S2668" s="29" t="s">
        <v>11838</v>
      </c>
      <c r="T2668" s="29" t="s">
        <v>43</v>
      </c>
      <c r="U2668" s="8"/>
      <c r="V2668" s="8" t="s">
        <v>11839</v>
      </c>
      <c r="W2668" s="8" t="s">
        <v>46</v>
      </c>
      <c r="X2668" s="8"/>
      <c r="Y2668" s="8"/>
      <c r="Z2668" s="8" t="str">
        <f>HYPERLINK("https://knigipp.ru/api/getInfo/image/a41965f3-e574-11f0-a28c-00155d82e908")</f>
        <v>https://knigipp.ru/api/getInfo/image/a41965f3-e574-11f0-a28c-00155d82e908</v>
      </c>
      <c r="AA2668" s="34">
        <v>10</v>
      </c>
      <c r="AB2668" s="8" t="s">
        <v>47</v>
      </c>
      <c r="AC2668" s="8" t="s">
        <v>140</v>
      </c>
      <c r="AD2668" s="8"/>
      <c r="AE2668" s="8" t="s">
        <v>49</v>
      </c>
      <c r="AF2668" s="8"/>
      <c r="AG2668" s="8"/>
      <c r="AH2668" s="8" t="s">
        <v>11840</v>
      </c>
      <c r="AI2668" s="55"/>
    </row>
    <row r="2669" spans="2:35" ht="21" customHeight="1" outlineLevel="4" x14ac:dyDescent="0.2">
      <c r="B2669" s="42">
        <v>2143</v>
      </c>
      <c r="C2669" s="5" t="s">
        <v>11841</v>
      </c>
      <c r="D2669" s="5" t="s">
        <v>11842</v>
      </c>
      <c r="E2669" s="6" t="s">
        <v>11843</v>
      </c>
      <c r="F2669" s="10"/>
      <c r="G2669" s="11" t="s">
        <v>11844</v>
      </c>
      <c r="H2669" s="12">
        <v>48</v>
      </c>
      <c r="I2669" s="13" t="s">
        <v>41</v>
      </c>
      <c r="J2669" s="13"/>
      <c r="K2669" s="13"/>
      <c r="L2669" s="4">
        <v>8</v>
      </c>
      <c r="M2669" s="14">
        <f>87*(1-P3/100)</f>
        <v>87</v>
      </c>
      <c r="N2669" s="15"/>
      <c r="O2669" s="13">
        <f t="shared" si="115"/>
        <v>0</v>
      </c>
      <c r="P2669" s="22">
        <f>0.053*N2669</f>
        <v>0</v>
      </c>
      <c r="Q2669" s="23">
        <f>0.00018*N2669</f>
        <v>0</v>
      </c>
      <c r="R2669" s="24"/>
      <c r="S2669" s="25" t="s">
        <v>11845</v>
      </c>
      <c r="T2669" s="25" t="s">
        <v>43</v>
      </c>
      <c r="U2669" s="5"/>
      <c r="V2669" s="5" t="s">
        <v>11846</v>
      </c>
      <c r="W2669" s="5" t="s">
        <v>46</v>
      </c>
      <c r="X2669" s="5"/>
      <c r="Y2669" s="5"/>
      <c r="Z2669" s="5" t="str">
        <f>HYPERLINK("https://knigipp.ru/api/getInfo/image/74aa9be2-e5e4-11ee-a25a-00155d82e908")</f>
        <v>https://knigipp.ru/api/getInfo/image/74aa9be2-e5e4-11ee-a25a-00155d82e908</v>
      </c>
      <c r="AA2669" s="33">
        <v>10</v>
      </c>
      <c r="AB2669" s="5" t="s">
        <v>47</v>
      </c>
      <c r="AC2669" s="5" t="s">
        <v>140</v>
      </c>
      <c r="AD2669" s="5"/>
      <c r="AE2669" s="5" t="s">
        <v>49</v>
      </c>
      <c r="AF2669" s="5"/>
      <c r="AG2669" s="5"/>
      <c r="AH2669" s="5" t="s">
        <v>11840</v>
      </c>
    </row>
    <row r="2670" spans="2:35" ht="21" customHeight="1" outlineLevel="4" x14ac:dyDescent="0.2">
      <c r="B2670" s="42">
        <v>2144</v>
      </c>
      <c r="C2670" s="5" t="s">
        <v>11847</v>
      </c>
      <c r="D2670" s="5" t="s">
        <v>11848</v>
      </c>
      <c r="E2670" s="6" t="s">
        <v>11849</v>
      </c>
      <c r="F2670" s="10"/>
      <c r="G2670" s="11" t="s">
        <v>11850</v>
      </c>
      <c r="H2670" s="12">
        <v>48</v>
      </c>
      <c r="I2670" s="13" t="s">
        <v>261</v>
      </c>
      <c r="J2670" s="13"/>
      <c r="K2670" s="13"/>
      <c r="L2670" s="4">
        <v>8</v>
      </c>
      <c r="M2670" s="14">
        <f>87*(1-P3/100)</f>
        <v>87</v>
      </c>
      <c r="N2670" s="15"/>
      <c r="O2670" s="13">
        <f t="shared" si="115"/>
        <v>0</v>
      </c>
      <c r="P2670" s="22">
        <f>0.052*N2670</f>
        <v>0</v>
      </c>
      <c r="Q2670" s="23">
        <f>0.00015*N2670</f>
        <v>0</v>
      </c>
      <c r="R2670" s="24"/>
      <c r="S2670" s="25" t="s">
        <v>11851</v>
      </c>
      <c r="T2670" s="25" t="s">
        <v>43</v>
      </c>
      <c r="U2670" s="5"/>
      <c r="V2670" s="5" t="s">
        <v>11852</v>
      </c>
      <c r="W2670" s="5" t="s">
        <v>46</v>
      </c>
      <c r="X2670" s="5"/>
      <c r="Y2670" s="5"/>
      <c r="Z2670" s="5" t="str">
        <f>HYPERLINK("https://knigipp.ru/api/getInfo/image/16715f03-e5e5-11ee-a25a-00155d82e908")</f>
        <v>https://knigipp.ru/api/getInfo/image/16715f03-e5e5-11ee-a25a-00155d82e908</v>
      </c>
      <c r="AA2670" s="33">
        <v>10</v>
      </c>
      <c r="AB2670" s="5" t="s">
        <v>47</v>
      </c>
      <c r="AC2670" s="5" t="s">
        <v>140</v>
      </c>
      <c r="AD2670" s="5"/>
      <c r="AE2670" s="5" t="s">
        <v>49</v>
      </c>
      <c r="AF2670" s="5"/>
      <c r="AG2670" s="5"/>
      <c r="AH2670" s="5" t="s">
        <v>11828</v>
      </c>
    </row>
    <row r="2671" spans="2:35" ht="21" customHeight="1" outlineLevel="4" x14ac:dyDescent="0.2">
      <c r="B2671" s="42">
        <v>2145</v>
      </c>
      <c r="C2671" s="5" t="s">
        <v>11853</v>
      </c>
      <c r="D2671" s="5" t="s">
        <v>11854</v>
      </c>
      <c r="E2671" s="6" t="s">
        <v>11855</v>
      </c>
      <c r="F2671" s="10"/>
      <c r="G2671" s="11" t="s">
        <v>11856</v>
      </c>
      <c r="H2671" s="12">
        <v>48</v>
      </c>
      <c r="I2671" s="13" t="s">
        <v>41</v>
      </c>
      <c r="J2671" s="13"/>
      <c r="K2671" s="13"/>
      <c r="L2671" s="4">
        <v>8</v>
      </c>
      <c r="M2671" s="14">
        <f>87*(1-P3/100)</f>
        <v>87</v>
      </c>
      <c r="N2671" s="15"/>
      <c r="O2671" s="13">
        <f t="shared" si="115"/>
        <v>0</v>
      </c>
      <c r="P2671" s="22">
        <f>0.052*N2671</f>
        <v>0</v>
      </c>
      <c r="Q2671" s="23">
        <f>0.00014*N2671</f>
        <v>0</v>
      </c>
      <c r="R2671" s="24"/>
      <c r="S2671" s="25" t="s">
        <v>11857</v>
      </c>
      <c r="T2671" s="25" t="s">
        <v>43</v>
      </c>
      <c r="U2671" s="5"/>
      <c r="V2671" s="5" t="s">
        <v>11858</v>
      </c>
      <c r="W2671" s="5" t="s">
        <v>46</v>
      </c>
      <c r="X2671" s="5"/>
      <c r="Y2671" s="5"/>
      <c r="Z2671" s="5" t="str">
        <f>HYPERLINK("https://knigipp.ru/api/getInfo/image/e992d5bb-e5e4-11ee-a25a-00155d82e908")</f>
        <v>https://knigipp.ru/api/getInfo/image/e992d5bb-e5e4-11ee-a25a-00155d82e908</v>
      </c>
      <c r="AA2671" s="33">
        <v>10</v>
      </c>
      <c r="AB2671" s="5" t="s">
        <v>47</v>
      </c>
      <c r="AC2671" s="5" t="s">
        <v>140</v>
      </c>
      <c r="AD2671" s="5"/>
      <c r="AE2671" s="5" t="s">
        <v>49</v>
      </c>
      <c r="AF2671" s="5"/>
      <c r="AG2671" s="5"/>
      <c r="AH2671" s="5" t="s">
        <v>11840</v>
      </c>
    </row>
    <row r="2672" spans="2:35" ht="21" customHeight="1" outlineLevel="4" x14ac:dyDescent="0.2">
      <c r="B2672" s="42">
        <v>2146</v>
      </c>
      <c r="C2672" s="5" t="s">
        <v>11859</v>
      </c>
      <c r="D2672" s="5" t="s">
        <v>11860</v>
      </c>
      <c r="E2672" s="6" t="s">
        <v>11861</v>
      </c>
      <c r="F2672" s="10"/>
      <c r="G2672" s="11" t="s">
        <v>11825</v>
      </c>
      <c r="H2672" s="12">
        <v>48</v>
      </c>
      <c r="I2672" s="13" t="s">
        <v>41</v>
      </c>
      <c r="J2672" s="13"/>
      <c r="K2672" s="13"/>
      <c r="L2672" s="4">
        <v>8</v>
      </c>
      <c r="M2672" s="14">
        <f>87*(1-P3/100)</f>
        <v>87</v>
      </c>
      <c r="N2672" s="15"/>
      <c r="O2672" s="13">
        <f t="shared" si="115"/>
        <v>0</v>
      </c>
      <c r="P2672" s="22">
        <f>0.052*N2672</f>
        <v>0</v>
      </c>
      <c r="Q2672" s="23">
        <f>0.00015*N2672</f>
        <v>0</v>
      </c>
      <c r="R2672" s="24"/>
      <c r="S2672" s="25" t="s">
        <v>11862</v>
      </c>
      <c r="T2672" s="25" t="s">
        <v>43</v>
      </c>
      <c r="U2672" s="5"/>
      <c r="V2672" s="5" t="s">
        <v>11863</v>
      </c>
      <c r="W2672" s="5" t="s">
        <v>46</v>
      </c>
      <c r="X2672" s="5"/>
      <c r="Y2672" s="5"/>
      <c r="Z2672" s="5" t="str">
        <f>HYPERLINK("https://knigipp.ru/api/getInfo/image/2dfd6c39-25c2-11f0-a279-00155d82e908")</f>
        <v>https://knigipp.ru/api/getInfo/image/2dfd6c39-25c2-11f0-a279-00155d82e908</v>
      </c>
      <c r="AA2672" s="33">
        <v>10</v>
      </c>
      <c r="AB2672" s="5" t="s">
        <v>47</v>
      </c>
      <c r="AC2672" s="5" t="s">
        <v>140</v>
      </c>
      <c r="AD2672" s="5"/>
      <c r="AE2672" s="5" t="s">
        <v>49</v>
      </c>
      <c r="AF2672" s="5"/>
      <c r="AG2672" s="5"/>
      <c r="AH2672" s="5" t="s">
        <v>11828</v>
      </c>
    </row>
    <row r="2673" spans="2:35" ht="21" customHeight="1" outlineLevel="4" x14ac:dyDescent="0.2">
      <c r="B2673" s="42">
        <v>2147</v>
      </c>
      <c r="C2673" s="5" t="s">
        <v>11864</v>
      </c>
      <c r="D2673" s="5" t="s">
        <v>11865</v>
      </c>
      <c r="E2673" s="6" t="s">
        <v>11866</v>
      </c>
      <c r="F2673" s="10"/>
      <c r="G2673" s="11" t="s">
        <v>11825</v>
      </c>
      <c r="H2673" s="12">
        <v>48</v>
      </c>
      <c r="I2673" s="13" t="s">
        <v>41</v>
      </c>
      <c r="J2673" s="13"/>
      <c r="K2673" s="13"/>
      <c r="L2673" s="4">
        <v>8</v>
      </c>
      <c r="M2673" s="14">
        <f>87*(1-P3/100)</f>
        <v>87</v>
      </c>
      <c r="N2673" s="15"/>
      <c r="O2673" s="13">
        <f t="shared" si="115"/>
        <v>0</v>
      </c>
      <c r="P2673" s="22">
        <f>0.053*N2673</f>
        <v>0</v>
      </c>
      <c r="Q2673" s="23">
        <f>0.00007*N2673</f>
        <v>0</v>
      </c>
      <c r="R2673" s="24"/>
      <c r="S2673" s="25" t="s">
        <v>11867</v>
      </c>
      <c r="T2673" s="25" t="s">
        <v>43</v>
      </c>
      <c r="U2673" s="5"/>
      <c r="V2673" s="5" t="s">
        <v>11868</v>
      </c>
      <c r="W2673" s="5" t="s">
        <v>46</v>
      </c>
      <c r="X2673" s="5"/>
      <c r="Y2673" s="5"/>
      <c r="Z2673" s="5" t="str">
        <f>HYPERLINK("https://knigipp.ru/api/getInfo/image/bc33229f-25c2-11f0-a279-00155d82e908")</f>
        <v>https://knigipp.ru/api/getInfo/image/bc33229f-25c2-11f0-a279-00155d82e908</v>
      </c>
      <c r="AA2673" s="33">
        <v>10</v>
      </c>
      <c r="AB2673" s="5" t="s">
        <v>47</v>
      </c>
      <c r="AC2673" s="5" t="s">
        <v>140</v>
      </c>
      <c r="AD2673" s="5"/>
      <c r="AE2673" s="5" t="s">
        <v>49</v>
      </c>
      <c r="AF2673" s="5"/>
      <c r="AG2673" s="5"/>
      <c r="AH2673" s="5" t="s">
        <v>11828</v>
      </c>
    </row>
    <row r="2674" spans="2:35" ht="21" customHeight="1" outlineLevel="4" x14ac:dyDescent="0.2">
      <c r="B2674" s="42">
        <v>2148</v>
      </c>
      <c r="C2674" s="5" t="s">
        <v>11869</v>
      </c>
      <c r="D2674" s="5" t="s">
        <v>11870</v>
      </c>
      <c r="E2674" s="6" t="s">
        <v>11871</v>
      </c>
      <c r="F2674" s="10"/>
      <c r="G2674" s="11" t="s">
        <v>11825</v>
      </c>
      <c r="H2674" s="12">
        <v>48</v>
      </c>
      <c r="I2674" s="13" t="s">
        <v>41</v>
      </c>
      <c r="J2674" s="13"/>
      <c r="K2674" s="13"/>
      <c r="L2674" s="4">
        <v>8</v>
      </c>
      <c r="M2674" s="14">
        <f>87*(1-P3/100)</f>
        <v>87</v>
      </c>
      <c r="N2674" s="15"/>
      <c r="O2674" s="13">
        <f t="shared" si="115"/>
        <v>0</v>
      </c>
      <c r="P2674" s="22">
        <f>0.053*N2674</f>
        <v>0</v>
      </c>
      <c r="Q2674" s="23">
        <f>0.00007*N2674</f>
        <v>0</v>
      </c>
      <c r="R2674" s="24"/>
      <c r="S2674" s="25" t="s">
        <v>11872</v>
      </c>
      <c r="T2674" s="25" t="s">
        <v>43</v>
      </c>
      <c r="U2674" s="5"/>
      <c r="V2674" s="5" t="s">
        <v>11873</v>
      </c>
      <c r="W2674" s="5" t="s">
        <v>46</v>
      </c>
      <c r="X2674" s="5"/>
      <c r="Y2674" s="5"/>
      <c r="Z2674" s="5" t="str">
        <f>HYPERLINK("https://knigipp.ru/api/getInfo/image/dd59f960-25c2-11f0-a279-00155d82e908")</f>
        <v>https://knigipp.ru/api/getInfo/image/dd59f960-25c2-11f0-a279-00155d82e908</v>
      </c>
      <c r="AA2674" s="33">
        <v>10</v>
      </c>
      <c r="AB2674" s="5" t="s">
        <v>47</v>
      </c>
      <c r="AC2674" s="5" t="s">
        <v>140</v>
      </c>
      <c r="AD2674" s="5"/>
      <c r="AE2674" s="5" t="s">
        <v>49</v>
      </c>
      <c r="AF2674" s="5"/>
      <c r="AG2674" s="5"/>
      <c r="AH2674" s="5" t="s">
        <v>11828</v>
      </c>
    </row>
    <row r="2675" spans="2:35" ht="21" customHeight="1" outlineLevel="4" x14ac:dyDescent="0.2">
      <c r="B2675" s="42">
        <v>2149</v>
      </c>
      <c r="C2675" s="5" t="s">
        <v>11874</v>
      </c>
      <c r="D2675" s="5" t="s">
        <v>11875</v>
      </c>
      <c r="E2675" s="6" t="s">
        <v>11876</v>
      </c>
      <c r="F2675" s="10"/>
      <c r="G2675" s="11" t="s">
        <v>11877</v>
      </c>
      <c r="H2675" s="12">
        <v>48</v>
      </c>
      <c r="I2675" s="13" t="s">
        <v>41</v>
      </c>
      <c r="J2675" s="13"/>
      <c r="K2675" s="13"/>
      <c r="L2675" s="4">
        <v>8</v>
      </c>
      <c r="M2675" s="14">
        <f>87*(1-P3/100)</f>
        <v>87</v>
      </c>
      <c r="N2675" s="15"/>
      <c r="O2675" s="13">
        <f t="shared" si="115"/>
        <v>0</v>
      </c>
      <c r="P2675" s="22">
        <f>0.065*N2675</f>
        <v>0</v>
      </c>
      <c r="Q2675" s="30">
        <f>0.0001*N2675</f>
        <v>0</v>
      </c>
      <c r="R2675" s="24"/>
      <c r="S2675" s="25" t="s">
        <v>11878</v>
      </c>
      <c r="T2675" s="25" t="s">
        <v>43</v>
      </c>
      <c r="U2675" s="5"/>
      <c r="V2675" s="5"/>
      <c r="W2675" s="5" t="s">
        <v>46</v>
      </c>
      <c r="X2675" s="5"/>
      <c r="Y2675" s="5"/>
      <c r="Z2675" s="5" t="str">
        <f>HYPERLINK("https://knigipp.ru/api/getInfo/image/b472fe5b-c02a-11e9-a232-ac1f6b442184")</f>
        <v>https://knigipp.ru/api/getInfo/image/b472fe5b-c02a-11e9-a232-ac1f6b442184</v>
      </c>
      <c r="AA2675" s="33">
        <v>10</v>
      </c>
      <c r="AB2675" s="5"/>
      <c r="AC2675" s="5" t="s">
        <v>140</v>
      </c>
      <c r="AD2675" s="5"/>
      <c r="AE2675" s="5" t="s">
        <v>49</v>
      </c>
      <c r="AF2675" s="5"/>
      <c r="AG2675" s="5" t="s">
        <v>11342</v>
      </c>
      <c r="AH2675" s="5" t="s">
        <v>11879</v>
      </c>
    </row>
    <row r="2676" spans="2:35" ht="21" customHeight="1" outlineLevel="4" x14ac:dyDescent="0.2">
      <c r="B2676" s="42">
        <v>2150</v>
      </c>
      <c r="C2676" s="5" t="s">
        <v>11880</v>
      </c>
      <c r="D2676" s="5" t="s">
        <v>11881</v>
      </c>
      <c r="E2676" s="6" t="s">
        <v>11882</v>
      </c>
      <c r="F2676" s="10"/>
      <c r="G2676" s="11" t="s">
        <v>11883</v>
      </c>
      <c r="H2676" s="12">
        <v>48</v>
      </c>
      <c r="I2676" s="13" t="s">
        <v>371</v>
      </c>
      <c r="J2676" s="13"/>
      <c r="K2676" s="13"/>
      <c r="L2676" s="4">
        <v>8</v>
      </c>
      <c r="M2676" s="14">
        <f>87*(1-P3/100)</f>
        <v>87</v>
      </c>
      <c r="N2676" s="15"/>
      <c r="O2676" s="13">
        <f t="shared" si="115"/>
        <v>0</v>
      </c>
      <c r="P2676" s="22">
        <f>0.066*N2676</f>
        <v>0</v>
      </c>
      <c r="Q2676" s="30">
        <f>0.0001*N2676</f>
        <v>0</v>
      </c>
      <c r="R2676" s="24"/>
      <c r="S2676" s="25" t="s">
        <v>11884</v>
      </c>
      <c r="T2676" s="25" t="s">
        <v>43</v>
      </c>
      <c r="U2676" s="5" t="s">
        <v>4057</v>
      </c>
      <c r="V2676" s="5"/>
      <c r="W2676" s="5" t="s">
        <v>46</v>
      </c>
      <c r="X2676" s="5" t="s">
        <v>11885</v>
      </c>
      <c r="Y2676" s="5"/>
      <c r="Z2676" s="5" t="str">
        <f>HYPERLINK("https://knigipp.ru/api/getInfo/image/8a0d9a7e-c686-11e1-81d3-5ef3fc502493")</f>
        <v>https://knigipp.ru/api/getInfo/image/8a0d9a7e-c686-11e1-81d3-5ef3fc502493</v>
      </c>
      <c r="AA2676" s="33">
        <v>10</v>
      </c>
      <c r="AB2676" s="5"/>
      <c r="AC2676" s="5" t="s">
        <v>140</v>
      </c>
      <c r="AD2676" s="5"/>
      <c r="AE2676" s="5" t="s">
        <v>49</v>
      </c>
      <c r="AF2676" s="5"/>
      <c r="AG2676" s="5" t="s">
        <v>11342</v>
      </c>
      <c r="AH2676" s="5" t="s">
        <v>11879</v>
      </c>
    </row>
    <row r="2677" spans="2:35" ht="21" customHeight="1" outlineLevel="4" x14ac:dyDescent="0.2">
      <c r="B2677" s="42">
        <v>2151</v>
      </c>
      <c r="C2677" s="5" t="s">
        <v>11886</v>
      </c>
      <c r="D2677" s="5" t="s">
        <v>11887</v>
      </c>
      <c r="E2677" s="6" t="s">
        <v>11888</v>
      </c>
      <c r="F2677" s="10"/>
      <c r="G2677" s="11" t="s">
        <v>11889</v>
      </c>
      <c r="H2677" s="12">
        <v>48</v>
      </c>
      <c r="I2677" s="13" t="s">
        <v>41</v>
      </c>
      <c r="J2677" s="13"/>
      <c r="K2677" s="13"/>
      <c r="L2677" s="4">
        <v>8</v>
      </c>
      <c r="M2677" s="14">
        <f>87*(1-P3/100)</f>
        <v>87</v>
      </c>
      <c r="N2677" s="15"/>
      <c r="O2677" s="13">
        <f t="shared" si="115"/>
        <v>0</v>
      </c>
      <c r="P2677" s="22">
        <f>0.052*N2677</f>
        <v>0</v>
      </c>
      <c r="Q2677" s="23">
        <f>0.00015*N2677</f>
        <v>0</v>
      </c>
      <c r="R2677" s="24"/>
      <c r="S2677" s="25" t="s">
        <v>11890</v>
      </c>
      <c r="T2677" s="25" t="s">
        <v>43</v>
      </c>
      <c r="U2677" s="5" t="s">
        <v>11891</v>
      </c>
      <c r="V2677" s="5"/>
      <c r="W2677" s="5" t="s">
        <v>46</v>
      </c>
      <c r="X2677" s="5"/>
      <c r="Y2677" s="5"/>
      <c r="Z2677" s="5" t="str">
        <f>HYPERLINK("https://knigipp.ru/api/getInfo/image/9f87748f-db8c-11ee-a25a-00155d82e908")</f>
        <v>https://knigipp.ru/api/getInfo/image/9f87748f-db8c-11ee-a25a-00155d82e908</v>
      </c>
      <c r="AA2677" s="33">
        <v>10</v>
      </c>
      <c r="AB2677" s="5" t="s">
        <v>47</v>
      </c>
      <c r="AC2677" s="5" t="s">
        <v>140</v>
      </c>
      <c r="AD2677" s="5"/>
      <c r="AE2677" s="5" t="s">
        <v>49</v>
      </c>
      <c r="AF2677" s="5"/>
      <c r="AG2677" s="5" t="s">
        <v>11342</v>
      </c>
      <c r="AH2677" s="5" t="s">
        <v>11879</v>
      </c>
    </row>
    <row r="2678" spans="2:35" ht="21" customHeight="1" outlineLevel="4" x14ac:dyDescent="0.2">
      <c r="B2678" s="42">
        <v>2152</v>
      </c>
      <c r="C2678" s="5" t="s">
        <v>11892</v>
      </c>
      <c r="D2678" s="5" t="s">
        <v>11893</v>
      </c>
      <c r="E2678" s="6" t="s">
        <v>11894</v>
      </c>
      <c r="F2678" s="10"/>
      <c r="G2678" s="11" t="s">
        <v>11877</v>
      </c>
      <c r="H2678" s="12">
        <v>48</v>
      </c>
      <c r="I2678" s="13" t="s">
        <v>371</v>
      </c>
      <c r="J2678" s="13"/>
      <c r="K2678" s="13"/>
      <c r="L2678" s="4">
        <v>8</v>
      </c>
      <c r="M2678" s="14">
        <f>87*(1-P3/100)</f>
        <v>87</v>
      </c>
      <c r="N2678" s="15"/>
      <c r="O2678" s="13">
        <f t="shared" si="115"/>
        <v>0</v>
      </c>
      <c r="P2678" s="22">
        <f>0.052*N2678</f>
        <v>0</v>
      </c>
      <c r="Q2678" s="23">
        <f>0.00015*N2678</f>
        <v>0</v>
      </c>
      <c r="R2678" s="24"/>
      <c r="S2678" s="25" t="s">
        <v>11895</v>
      </c>
      <c r="T2678" s="25" t="s">
        <v>43</v>
      </c>
      <c r="U2678" s="5" t="s">
        <v>9998</v>
      </c>
      <c r="V2678" s="5"/>
      <c r="W2678" s="5" t="s">
        <v>46</v>
      </c>
      <c r="X2678" s="5"/>
      <c r="Y2678" s="5"/>
      <c r="Z2678" s="5" t="str">
        <f>HYPERLINK("https://knigipp.ru/api/getInfo/image/1656e162-c02c-11e9-a232-ac1f6b442184")</f>
        <v>https://knigipp.ru/api/getInfo/image/1656e162-c02c-11e9-a232-ac1f6b442184</v>
      </c>
      <c r="AA2678" s="33">
        <v>10</v>
      </c>
      <c r="AB2678" s="5"/>
      <c r="AC2678" s="5" t="s">
        <v>140</v>
      </c>
      <c r="AD2678" s="5"/>
      <c r="AE2678" s="5" t="s">
        <v>49</v>
      </c>
      <c r="AF2678" s="5"/>
      <c r="AG2678" s="5" t="s">
        <v>11342</v>
      </c>
      <c r="AH2678" s="5" t="s">
        <v>11879</v>
      </c>
    </row>
    <row r="2679" spans="2:35" ht="21" customHeight="1" outlineLevel="4" x14ac:dyDescent="0.2">
      <c r="B2679" s="42">
        <v>2153</v>
      </c>
      <c r="C2679" s="5" t="s">
        <v>11896</v>
      </c>
      <c r="D2679" s="5" t="s">
        <v>11897</v>
      </c>
      <c r="E2679" s="6" t="s">
        <v>11898</v>
      </c>
      <c r="F2679" s="10"/>
      <c r="G2679" s="11" t="s">
        <v>11899</v>
      </c>
      <c r="H2679" s="12">
        <v>48</v>
      </c>
      <c r="I2679" s="13" t="s">
        <v>371</v>
      </c>
      <c r="J2679" s="13"/>
      <c r="K2679" s="13"/>
      <c r="L2679" s="4">
        <v>8</v>
      </c>
      <c r="M2679" s="14">
        <f>87*(1-P3/100)</f>
        <v>87</v>
      </c>
      <c r="N2679" s="15"/>
      <c r="O2679" s="13">
        <f t="shared" si="115"/>
        <v>0</v>
      </c>
      <c r="P2679" s="22">
        <f>0.065*N2679</f>
        <v>0</v>
      </c>
      <c r="Q2679" s="23">
        <f>0.00009*N2679</f>
        <v>0</v>
      </c>
      <c r="R2679" s="24"/>
      <c r="S2679" s="25" t="s">
        <v>11900</v>
      </c>
      <c r="T2679" s="25" t="s">
        <v>43</v>
      </c>
      <c r="U2679" s="5"/>
      <c r="V2679" s="5" t="s">
        <v>11901</v>
      </c>
      <c r="W2679" s="5" t="s">
        <v>46</v>
      </c>
      <c r="X2679" s="5"/>
      <c r="Y2679" s="5"/>
      <c r="Z2679" s="5" t="str">
        <f>HYPERLINK("https://knigipp.ru/api/getInfo/image/ffc7b6a6-55a4-11f0-a27e-00155d82e908")</f>
        <v>https://knigipp.ru/api/getInfo/image/ffc7b6a6-55a4-11f0-a27e-00155d82e908</v>
      </c>
      <c r="AA2679" s="33">
        <v>10</v>
      </c>
      <c r="AB2679" s="5" t="s">
        <v>47</v>
      </c>
      <c r="AC2679" s="5" t="s">
        <v>140</v>
      </c>
      <c r="AD2679" s="5"/>
      <c r="AE2679" s="5" t="s">
        <v>49</v>
      </c>
      <c r="AF2679" s="5"/>
      <c r="AG2679" s="5"/>
      <c r="AH2679" s="5" t="s">
        <v>11840</v>
      </c>
    </row>
    <row r="2680" spans="2:35" ht="21" customHeight="1" outlineLevel="4" x14ac:dyDescent="0.2">
      <c r="B2680" s="42">
        <v>2154</v>
      </c>
      <c r="C2680" s="5" t="s">
        <v>11902</v>
      </c>
      <c r="D2680" s="5" t="s">
        <v>11903</v>
      </c>
      <c r="E2680" s="6" t="s">
        <v>11904</v>
      </c>
      <c r="F2680" s="10"/>
      <c r="G2680" s="11" t="s">
        <v>11877</v>
      </c>
      <c r="H2680" s="12">
        <v>48</v>
      </c>
      <c r="I2680" s="13" t="s">
        <v>371</v>
      </c>
      <c r="J2680" s="13"/>
      <c r="K2680" s="13"/>
      <c r="L2680" s="4">
        <v>8</v>
      </c>
      <c r="M2680" s="14">
        <f>87*(1-P3/100)</f>
        <v>87</v>
      </c>
      <c r="N2680" s="15"/>
      <c r="O2680" s="13">
        <f t="shared" si="115"/>
        <v>0</v>
      </c>
      <c r="P2680" s="22">
        <f>0.066*N2680</f>
        <v>0</v>
      </c>
      <c r="Q2680" s="23">
        <f>0.00083*N2680</f>
        <v>0</v>
      </c>
      <c r="R2680" s="24"/>
      <c r="S2680" s="25" t="s">
        <v>11905</v>
      </c>
      <c r="T2680" s="25" t="s">
        <v>43</v>
      </c>
      <c r="U2680" s="5" t="s">
        <v>157</v>
      </c>
      <c r="V2680" s="5"/>
      <c r="W2680" s="5" t="s">
        <v>46</v>
      </c>
      <c r="X2680" s="5"/>
      <c r="Y2680" s="5"/>
      <c r="Z2680" s="5" t="str">
        <f>HYPERLINK("https://knigipp.ru/api/getInfo/image/77e37faf-fbc0-11e9-a236-ac1f6b442184")</f>
        <v>https://knigipp.ru/api/getInfo/image/77e37faf-fbc0-11e9-a236-ac1f6b442184</v>
      </c>
      <c r="AA2680" s="33">
        <v>10</v>
      </c>
      <c r="AB2680" s="5"/>
      <c r="AC2680" s="5" t="s">
        <v>140</v>
      </c>
      <c r="AD2680" s="5"/>
      <c r="AE2680" s="5" t="s">
        <v>49</v>
      </c>
      <c r="AF2680" s="5"/>
      <c r="AG2680" s="5" t="s">
        <v>11342</v>
      </c>
      <c r="AH2680" s="5" t="s">
        <v>11879</v>
      </c>
    </row>
    <row r="2681" spans="2:35" ht="21" customHeight="1" outlineLevel="4" x14ac:dyDescent="0.2">
      <c r="B2681" s="42">
        <v>2155</v>
      </c>
      <c r="C2681" s="5" t="s">
        <v>11906</v>
      </c>
      <c r="D2681" s="5" t="s">
        <v>11907</v>
      </c>
      <c r="E2681" s="6" t="s">
        <v>11908</v>
      </c>
      <c r="F2681" s="10"/>
      <c r="G2681" s="11" t="s">
        <v>11889</v>
      </c>
      <c r="H2681" s="12">
        <v>48</v>
      </c>
      <c r="I2681" s="13" t="s">
        <v>41</v>
      </c>
      <c r="J2681" s="13"/>
      <c r="K2681" s="13"/>
      <c r="L2681" s="4">
        <v>8</v>
      </c>
      <c r="M2681" s="14">
        <f>87*(1-P3/100)</f>
        <v>87</v>
      </c>
      <c r="N2681" s="15"/>
      <c r="O2681" s="13">
        <f t="shared" si="115"/>
        <v>0</v>
      </c>
      <c r="P2681" s="22">
        <f>0.052*N2681</f>
        <v>0</v>
      </c>
      <c r="Q2681" s="23">
        <f>0.00015*N2681</f>
        <v>0</v>
      </c>
      <c r="R2681" s="24"/>
      <c r="S2681" s="25" t="s">
        <v>11909</v>
      </c>
      <c r="T2681" s="25" t="s">
        <v>43</v>
      </c>
      <c r="U2681" s="5" t="s">
        <v>11891</v>
      </c>
      <c r="V2681" s="5"/>
      <c r="W2681" s="5" t="s">
        <v>46</v>
      </c>
      <c r="X2681" s="5"/>
      <c r="Y2681" s="5"/>
      <c r="Z2681" s="5" t="str">
        <f>HYPERLINK("https://knigipp.ru/api/getInfo/image/c97c19b0-db8c-11ee-a25a-00155d82e908")</f>
        <v>https://knigipp.ru/api/getInfo/image/c97c19b0-db8c-11ee-a25a-00155d82e908</v>
      </c>
      <c r="AA2681" s="33">
        <v>10</v>
      </c>
      <c r="AB2681" s="5" t="s">
        <v>47</v>
      </c>
      <c r="AC2681" s="5" t="s">
        <v>140</v>
      </c>
      <c r="AD2681" s="5"/>
      <c r="AE2681" s="5" t="s">
        <v>49</v>
      </c>
      <c r="AF2681" s="5"/>
      <c r="AG2681" s="5" t="s">
        <v>11342</v>
      </c>
      <c r="AH2681" s="5" t="s">
        <v>11879</v>
      </c>
    </row>
    <row r="2682" spans="2:35" ht="21" customHeight="1" outlineLevel="4" x14ac:dyDescent="0.2">
      <c r="B2682" s="42">
        <v>2156</v>
      </c>
      <c r="C2682" s="5" t="s">
        <v>11910</v>
      </c>
      <c r="D2682" s="5" t="s">
        <v>11911</v>
      </c>
      <c r="E2682" s="6" t="s">
        <v>11912</v>
      </c>
      <c r="F2682" s="10"/>
      <c r="G2682" s="11" t="s">
        <v>11899</v>
      </c>
      <c r="H2682" s="12">
        <v>48</v>
      </c>
      <c r="I2682" s="13" t="s">
        <v>41</v>
      </c>
      <c r="J2682" s="13"/>
      <c r="K2682" s="13"/>
      <c r="L2682" s="4">
        <v>8</v>
      </c>
      <c r="M2682" s="14">
        <f>87*(1-P3/100)</f>
        <v>87</v>
      </c>
      <c r="N2682" s="15"/>
      <c r="O2682" s="13">
        <f t="shared" si="115"/>
        <v>0</v>
      </c>
      <c r="P2682" s="22">
        <f>0.065*N2682</f>
        <v>0</v>
      </c>
      <c r="Q2682" s="23">
        <f>0.00009*N2682</f>
        <v>0</v>
      </c>
      <c r="R2682" s="24"/>
      <c r="S2682" s="25" t="s">
        <v>11913</v>
      </c>
      <c r="T2682" s="25" t="s">
        <v>43</v>
      </c>
      <c r="U2682" s="5"/>
      <c r="V2682" s="5" t="s">
        <v>11914</v>
      </c>
      <c r="W2682" s="5" t="s">
        <v>46</v>
      </c>
      <c r="X2682" s="5"/>
      <c r="Y2682" s="5"/>
      <c r="Z2682" s="5" t="str">
        <f>HYPERLINK("https://knigipp.ru/api/getInfo/image/78f35ca4-55a5-11f0-a27e-00155d82e908")</f>
        <v>https://knigipp.ru/api/getInfo/image/78f35ca4-55a5-11f0-a27e-00155d82e908</v>
      </c>
      <c r="AA2682" s="33">
        <v>10</v>
      </c>
      <c r="AB2682" s="5" t="s">
        <v>47</v>
      </c>
      <c r="AC2682" s="5" t="s">
        <v>140</v>
      </c>
      <c r="AD2682" s="5"/>
      <c r="AE2682" s="5" t="s">
        <v>49</v>
      </c>
      <c r="AF2682" s="5"/>
      <c r="AG2682" s="5"/>
      <c r="AH2682" s="5" t="s">
        <v>11840</v>
      </c>
    </row>
    <row r="2683" spans="2:35" ht="21" customHeight="1" outlineLevel="4" x14ac:dyDescent="0.2">
      <c r="B2683" s="43">
        <v>2157</v>
      </c>
      <c r="C2683" s="8" t="s">
        <v>11915</v>
      </c>
      <c r="D2683" s="8" t="s">
        <v>11916</v>
      </c>
      <c r="E2683" s="9" t="s">
        <v>11917</v>
      </c>
      <c r="F2683" s="16"/>
      <c r="G2683" s="17" t="s">
        <v>11918</v>
      </c>
      <c r="H2683" s="18">
        <v>48</v>
      </c>
      <c r="I2683" s="19" t="s">
        <v>41</v>
      </c>
      <c r="J2683" s="19"/>
      <c r="K2683" s="19"/>
      <c r="L2683" s="7">
        <v>8</v>
      </c>
      <c r="M2683" s="21">
        <f>87*(1-P3/100)</f>
        <v>87</v>
      </c>
      <c r="N2683" s="15"/>
      <c r="O2683" s="19">
        <f t="shared" si="115"/>
        <v>0</v>
      </c>
      <c r="P2683" s="26">
        <f>0.066*N2683</f>
        <v>0</v>
      </c>
      <c r="Q2683" s="27">
        <f>0.00007*N2683</f>
        <v>0</v>
      </c>
      <c r="R2683" s="28" t="s">
        <v>81</v>
      </c>
      <c r="S2683" s="29" t="s">
        <v>11919</v>
      </c>
      <c r="T2683" s="29" t="s">
        <v>43</v>
      </c>
      <c r="U2683" s="8" t="s">
        <v>10268</v>
      </c>
      <c r="V2683" s="8" t="s">
        <v>11920</v>
      </c>
      <c r="W2683" s="8" t="s">
        <v>46</v>
      </c>
      <c r="X2683" s="8"/>
      <c r="Y2683" s="8"/>
      <c r="Z2683" s="8" t="str">
        <f>HYPERLINK("https://knigipp.ru/api/getInfo/image/2cbe1a87-e578-11f0-a28c-00155d82e908")</f>
        <v>https://knigipp.ru/api/getInfo/image/2cbe1a87-e578-11f0-a28c-00155d82e908</v>
      </c>
      <c r="AA2683" s="34">
        <v>10</v>
      </c>
      <c r="AB2683" s="8" t="s">
        <v>47</v>
      </c>
      <c r="AC2683" s="8" t="s">
        <v>140</v>
      </c>
      <c r="AD2683" s="8"/>
      <c r="AE2683" s="8" t="s">
        <v>49</v>
      </c>
      <c r="AF2683" s="8"/>
      <c r="AG2683" s="8"/>
      <c r="AH2683" s="8" t="s">
        <v>11840</v>
      </c>
      <c r="AI2683" s="55"/>
    </row>
    <row r="2684" spans="2:35" ht="21" customHeight="1" outlineLevel="4" x14ac:dyDescent="0.2">
      <c r="B2684" s="42">
        <v>2158</v>
      </c>
      <c r="C2684" s="5" t="s">
        <v>11921</v>
      </c>
      <c r="D2684" s="5" t="s">
        <v>11922</v>
      </c>
      <c r="E2684" s="6" t="s">
        <v>11923</v>
      </c>
      <c r="F2684" s="10"/>
      <c r="G2684" s="11" t="s">
        <v>11924</v>
      </c>
      <c r="H2684" s="12">
        <v>48</v>
      </c>
      <c r="I2684" s="13" t="s">
        <v>371</v>
      </c>
      <c r="J2684" s="13"/>
      <c r="K2684" s="13"/>
      <c r="L2684" s="4">
        <v>8</v>
      </c>
      <c r="M2684" s="14">
        <f>87*(1-P3/100)</f>
        <v>87</v>
      </c>
      <c r="N2684" s="15"/>
      <c r="O2684" s="13">
        <f t="shared" si="115"/>
        <v>0</v>
      </c>
      <c r="P2684" s="22">
        <f>0.052*N2684</f>
        <v>0</v>
      </c>
      <c r="Q2684" s="23">
        <f>0.00015*N2684</f>
        <v>0</v>
      </c>
      <c r="R2684" s="24"/>
      <c r="S2684" s="25" t="s">
        <v>11925</v>
      </c>
      <c r="T2684" s="25" t="s">
        <v>43</v>
      </c>
      <c r="U2684" s="5" t="s">
        <v>157</v>
      </c>
      <c r="V2684" s="5"/>
      <c r="W2684" s="5" t="s">
        <v>46</v>
      </c>
      <c r="X2684" s="5"/>
      <c r="Y2684" s="5"/>
      <c r="Z2684" s="5" t="str">
        <f>HYPERLINK("https://knigipp.ru/api/getInfo/image/482357ef-99b1-11e9-a227-ac1f6b442184")</f>
        <v>https://knigipp.ru/api/getInfo/image/482357ef-99b1-11e9-a227-ac1f6b442184</v>
      </c>
      <c r="AA2684" s="33">
        <v>10</v>
      </c>
      <c r="AB2684" s="5"/>
      <c r="AC2684" s="5" t="s">
        <v>140</v>
      </c>
      <c r="AD2684" s="5"/>
      <c r="AE2684" s="5" t="s">
        <v>49</v>
      </c>
      <c r="AF2684" s="5"/>
      <c r="AG2684" s="5" t="s">
        <v>11342</v>
      </c>
      <c r="AH2684" s="5" t="s">
        <v>11879</v>
      </c>
    </row>
    <row r="2685" spans="2:35" ht="21" customHeight="1" outlineLevel="4" x14ac:dyDescent="0.2">
      <c r="B2685" s="42">
        <v>2159</v>
      </c>
      <c r="C2685" s="5" t="s">
        <v>11926</v>
      </c>
      <c r="D2685" s="5" t="s">
        <v>11927</v>
      </c>
      <c r="E2685" s="6" t="s">
        <v>11928</v>
      </c>
      <c r="F2685" s="10"/>
      <c r="G2685" s="11" t="s">
        <v>11929</v>
      </c>
      <c r="H2685" s="12">
        <v>48</v>
      </c>
      <c r="I2685" s="13" t="s">
        <v>371</v>
      </c>
      <c r="J2685" s="13"/>
      <c r="K2685" s="13"/>
      <c r="L2685" s="4">
        <v>8</v>
      </c>
      <c r="M2685" s="14">
        <f>87*(1-P3/100)</f>
        <v>87</v>
      </c>
      <c r="N2685" s="15"/>
      <c r="O2685" s="13">
        <f t="shared" si="115"/>
        <v>0</v>
      </c>
      <c r="P2685" s="22">
        <f>0.066*N2685</f>
        <v>0</v>
      </c>
      <c r="Q2685" s="30">
        <f>0.0001*N2685</f>
        <v>0</v>
      </c>
      <c r="R2685" s="24"/>
      <c r="S2685" s="25" t="s">
        <v>11930</v>
      </c>
      <c r="T2685" s="25" t="s">
        <v>43</v>
      </c>
      <c r="U2685" s="5" t="s">
        <v>11931</v>
      </c>
      <c r="V2685" s="5"/>
      <c r="W2685" s="5" t="s">
        <v>46</v>
      </c>
      <c r="X2685" s="5"/>
      <c r="Y2685" s="5"/>
      <c r="Z2685" s="5" t="str">
        <f>HYPERLINK("https://knigipp.ru/api/getInfo/image/eaa89fd7-99b1-11e9-a227-ac1f6b442184")</f>
        <v>https://knigipp.ru/api/getInfo/image/eaa89fd7-99b1-11e9-a227-ac1f6b442184</v>
      </c>
      <c r="AA2685" s="33">
        <v>10</v>
      </c>
      <c r="AB2685" s="5"/>
      <c r="AC2685" s="5" t="s">
        <v>140</v>
      </c>
      <c r="AD2685" s="5"/>
      <c r="AE2685" s="5" t="s">
        <v>49</v>
      </c>
      <c r="AF2685" s="5"/>
      <c r="AG2685" s="5" t="s">
        <v>11342</v>
      </c>
      <c r="AH2685" s="5" t="s">
        <v>11879</v>
      </c>
    </row>
    <row r="2686" spans="2:35" ht="21" customHeight="1" outlineLevel="4" x14ac:dyDescent="0.2">
      <c r="B2686" s="42">
        <v>2160</v>
      </c>
      <c r="C2686" s="5" t="s">
        <v>11932</v>
      </c>
      <c r="D2686" s="5" t="s">
        <v>11933</v>
      </c>
      <c r="E2686" s="6" t="s">
        <v>11934</v>
      </c>
      <c r="F2686" s="10"/>
      <c r="G2686" s="11" t="s">
        <v>11889</v>
      </c>
      <c r="H2686" s="12">
        <v>48</v>
      </c>
      <c r="I2686" s="13" t="s">
        <v>41</v>
      </c>
      <c r="J2686" s="13"/>
      <c r="K2686" s="13"/>
      <c r="L2686" s="4">
        <v>8</v>
      </c>
      <c r="M2686" s="14">
        <f>87*(1-P3/100)</f>
        <v>87</v>
      </c>
      <c r="N2686" s="15"/>
      <c r="O2686" s="13">
        <f t="shared" si="115"/>
        <v>0</v>
      </c>
      <c r="P2686" s="22">
        <f>0.052*N2686</f>
        <v>0</v>
      </c>
      <c r="Q2686" s="23">
        <f>0.00015*N2686</f>
        <v>0</v>
      </c>
      <c r="R2686" s="24"/>
      <c r="S2686" s="25" t="s">
        <v>11935</v>
      </c>
      <c r="T2686" s="25" t="s">
        <v>43</v>
      </c>
      <c r="U2686" s="5" t="s">
        <v>11891</v>
      </c>
      <c r="V2686" s="5"/>
      <c r="W2686" s="5" t="s">
        <v>46</v>
      </c>
      <c r="X2686" s="5"/>
      <c r="Y2686" s="5"/>
      <c r="Z2686" s="5" t="str">
        <f>HYPERLINK("https://knigipp.ru/api/getInfo/image/bd46a829-db8e-11ee-a25a-00155d82e908")</f>
        <v>https://knigipp.ru/api/getInfo/image/bd46a829-db8e-11ee-a25a-00155d82e908</v>
      </c>
      <c r="AA2686" s="33">
        <v>10</v>
      </c>
      <c r="AB2686" s="5" t="s">
        <v>47</v>
      </c>
      <c r="AC2686" s="5" t="s">
        <v>140</v>
      </c>
      <c r="AD2686" s="5"/>
      <c r="AE2686" s="5" t="s">
        <v>49</v>
      </c>
      <c r="AF2686" s="5"/>
      <c r="AG2686" s="5" t="s">
        <v>11342</v>
      </c>
      <c r="AH2686" s="5" t="s">
        <v>11879</v>
      </c>
    </row>
    <row r="2687" spans="2:35" ht="21" customHeight="1" outlineLevel="4" x14ac:dyDescent="0.2">
      <c r="B2687" s="42">
        <v>2161</v>
      </c>
      <c r="C2687" s="5" t="s">
        <v>11936</v>
      </c>
      <c r="D2687" s="5" t="s">
        <v>11937</v>
      </c>
      <c r="E2687" s="6" t="s">
        <v>11938</v>
      </c>
      <c r="F2687" s="10"/>
      <c r="G2687" s="11" t="s">
        <v>11939</v>
      </c>
      <c r="H2687" s="12">
        <v>48</v>
      </c>
      <c r="I2687" s="13" t="s">
        <v>261</v>
      </c>
      <c r="J2687" s="13"/>
      <c r="K2687" s="13"/>
      <c r="L2687" s="4">
        <v>8</v>
      </c>
      <c r="M2687" s="14">
        <f>87*(1-P3/100)</f>
        <v>87</v>
      </c>
      <c r="N2687" s="15"/>
      <c r="O2687" s="13">
        <f t="shared" si="115"/>
        <v>0</v>
      </c>
      <c r="P2687" s="22">
        <f>0.052*N2687</f>
        <v>0</v>
      </c>
      <c r="Q2687" s="23">
        <f>0.00015*N2687</f>
        <v>0</v>
      </c>
      <c r="R2687" s="24"/>
      <c r="S2687" s="25" t="s">
        <v>11940</v>
      </c>
      <c r="T2687" s="25" t="s">
        <v>43</v>
      </c>
      <c r="U2687" s="5"/>
      <c r="V2687" s="5" t="s">
        <v>11941</v>
      </c>
      <c r="W2687" s="5" t="s">
        <v>46</v>
      </c>
      <c r="X2687" s="5"/>
      <c r="Y2687" s="5"/>
      <c r="Z2687" s="5" t="str">
        <f>HYPERLINK("https://knigipp.ru/api/getInfo/image/fea5c0f8-3d5a-11f0-a27c-00155d82e908")</f>
        <v>https://knigipp.ru/api/getInfo/image/fea5c0f8-3d5a-11f0-a27c-00155d82e908</v>
      </c>
      <c r="AA2687" s="33">
        <v>10</v>
      </c>
      <c r="AB2687" s="5" t="s">
        <v>47</v>
      </c>
      <c r="AC2687" s="5" t="s">
        <v>140</v>
      </c>
      <c r="AD2687" s="5"/>
      <c r="AE2687" s="5" t="s">
        <v>49</v>
      </c>
      <c r="AF2687" s="5"/>
      <c r="AG2687" s="5"/>
      <c r="AH2687" s="5" t="s">
        <v>11828</v>
      </c>
    </row>
    <row r="2688" spans="2:35" ht="21" customHeight="1" outlineLevel="4" x14ac:dyDescent="0.2">
      <c r="B2688" s="42">
        <v>2162</v>
      </c>
      <c r="C2688" s="5" t="s">
        <v>11942</v>
      </c>
      <c r="D2688" s="5" t="s">
        <v>11943</v>
      </c>
      <c r="E2688" s="6" t="s">
        <v>11944</v>
      </c>
      <c r="F2688" s="10"/>
      <c r="G2688" s="11" t="s">
        <v>11945</v>
      </c>
      <c r="H2688" s="12">
        <v>48</v>
      </c>
      <c r="I2688" s="13" t="s">
        <v>371</v>
      </c>
      <c r="J2688" s="13"/>
      <c r="K2688" s="13"/>
      <c r="L2688" s="4">
        <v>8</v>
      </c>
      <c r="M2688" s="14">
        <f>87*(1-P3/100)</f>
        <v>87</v>
      </c>
      <c r="N2688" s="15"/>
      <c r="O2688" s="13">
        <f t="shared" si="115"/>
        <v>0</v>
      </c>
      <c r="P2688" s="22">
        <f>0.065*N2688</f>
        <v>0</v>
      </c>
      <c r="Q2688" s="30">
        <f>0.0001*N2688</f>
        <v>0</v>
      </c>
      <c r="R2688" s="24"/>
      <c r="S2688" s="25" t="s">
        <v>11946</v>
      </c>
      <c r="T2688" s="25" t="s">
        <v>43</v>
      </c>
      <c r="U2688" s="5"/>
      <c r="V2688" s="5"/>
      <c r="W2688" s="5" t="s">
        <v>7753</v>
      </c>
      <c r="X2688" s="5"/>
      <c r="Y2688" s="5"/>
      <c r="Z2688" s="5" t="str">
        <f>HYPERLINK("https://knigipp.ru/api/getInfo/image/23ab055d-2308-11e9-a21c-ac1f6b442184")</f>
        <v>https://knigipp.ru/api/getInfo/image/23ab055d-2308-11e9-a21c-ac1f6b442184</v>
      </c>
      <c r="AA2688" s="33">
        <v>10</v>
      </c>
      <c r="AB2688" s="5"/>
      <c r="AC2688" s="5" t="s">
        <v>140</v>
      </c>
      <c r="AD2688" s="5"/>
      <c r="AE2688" s="5" t="s">
        <v>49</v>
      </c>
      <c r="AF2688" s="5"/>
      <c r="AG2688" s="5"/>
      <c r="AH2688" s="5" t="s">
        <v>11879</v>
      </c>
    </row>
    <row r="2689" spans="2:35" ht="21" customHeight="1" outlineLevel="4" x14ac:dyDescent="0.2">
      <c r="B2689" s="42">
        <v>2163</v>
      </c>
      <c r="C2689" s="5" t="s">
        <v>11947</v>
      </c>
      <c r="D2689" s="5" t="s">
        <v>11943</v>
      </c>
      <c r="E2689" s="6" t="s">
        <v>11948</v>
      </c>
      <c r="F2689" s="10"/>
      <c r="G2689" s="11" t="s">
        <v>11889</v>
      </c>
      <c r="H2689" s="12">
        <v>48</v>
      </c>
      <c r="I2689" s="13" t="s">
        <v>371</v>
      </c>
      <c r="J2689" s="13"/>
      <c r="K2689" s="13"/>
      <c r="L2689" s="4">
        <v>8</v>
      </c>
      <c r="M2689" s="14">
        <f>87*(1-P3/100)</f>
        <v>87</v>
      </c>
      <c r="N2689" s="15"/>
      <c r="O2689" s="13">
        <f t="shared" si="115"/>
        <v>0</v>
      </c>
      <c r="P2689" s="22">
        <f>0.051*N2689</f>
        <v>0</v>
      </c>
      <c r="Q2689" s="23">
        <f>0.00012*N2689</f>
        <v>0</v>
      </c>
      <c r="R2689" s="24"/>
      <c r="S2689" s="25" t="s">
        <v>11949</v>
      </c>
      <c r="T2689" s="25" t="s">
        <v>43</v>
      </c>
      <c r="U2689" s="5" t="s">
        <v>11891</v>
      </c>
      <c r="V2689" s="5"/>
      <c r="W2689" s="5" t="s">
        <v>46</v>
      </c>
      <c r="X2689" s="5"/>
      <c r="Y2689" s="5"/>
      <c r="Z2689" s="5" t="str">
        <f>HYPERLINK("https://knigipp.ru/api/getInfo/image/e9a1adbe-db8e-11ee-a25a-00155d82e908")</f>
        <v>https://knigipp.ru/api/getInfo/image/e9a1adbe-db8e-11ee-a25a-00155d82e908</v>
      </c>
      <c r="AA2689" s="33">
        <v>10</v>
      </c>
      <c r="AB2689" s="5" t="s">
        <v>47</v>
      </c>
      <c r="AC2689" s="5" t="s">
        <v>140</v>
      </c>
      <c r="AD2689" s="5"/>
      <c r="AE2689" s="5" t="s">
        <v>49</v>
      </c>
      <c r="AF2689" s="5"/>
      <c r="AG2689" s="5" t="s">
        <v>11342</v>
      </c>
      <c r="AH2689" s="5" t="s">
        <v>11879</v>
      </c>
    </row>
    <row r="2690" spans="2:35" ht="21" customHeight="1" outlineLevel="4" x14ac:dyDescent="0.2">
      <c r="B2690" s="42">
        <v>2164</v>
      </c>
      <c r="C2690" s="5" t="s">
        <v>11950</v>
      </c>
      <c r="D2690" s="5" t="s">
        <v>11951</v>
      </c>
      <c r="E2690" s="6" t="s">
        <v>11952</v>
      </c>
      <c r="F2690" s="10"/>
      <c r="G2690" s="11" t="s">
        <v>11939</v>
      </c>
      <c r="H2690" s="12">
        <v>48</v>
      </c>
      <c r="I2690" s="13" t="s">
        <v>371</v>
      </c>
      <c r="J2690" s="13"/>
      <c r="K2690" s="13"/>
      <c r="L2690" s="4">
        <v>8</v>
      </c>
      <c r="M2690" s="14">
        <f>87*(1-P3/100)</f>
        <v>87</v>
      </c>
      <c r="N2690" s="15"/>
      <c r="O2690" s="13">
        <f t="shared" si="115"/>
        <v>0</v>
      </c>
      <c r="P2690" s="22">
        <f>0.052*N2690</f>
        <v>0</v>
      </c>
      <c r="Q2690" s="23">
        <f>0.00015*N2690</f>
        <v>0</v>
      </c>
      <c r="R2690" s="24"/>
      <c r="S2690" s="25" t="s">
        <v>11953</v>
      </c>
      <c r="T2690" s="25" t="s">
        <v>43</v>
      </c>
      <c r="U2690" s="5"/>
      <c r="V2690" s="5" t="s">
        <v>11954</v>
      </c>
      <c r="W2690" s="5" t="s">
        <v>46</v>
      </c>
      <c r="X2690" s="5"/>
      <c r="Y2690" s="5"/>
      <c r="Z2690" s="5" t="str">
        <f>HYPERLINK("https://knigipp.ru/api/getInfo/image/4fbf25fe-3d5b-11f0-a27c-00155d82e908")</f>
        <v>https://knigipp.ru/api/getInfo/image/4fbf25fe-3d5b-11f0-a27c-00155d82e908</v>
      </c>
      <c r="AA2690" s="33">
        <v>10</v>
      </c>
      <c r="AB2690" s="5" t="s">
        <v>47</v>
      </c>
      <c r="AC2690" s="5" t="s">
        <v>140</v>
      </c>
      <c r="AD2690" s="5"/>
      <c r="AE2690" s="5" t="s">
        <v>49</v>
      </c>
      <c r="AF2690" s="5"/>
      <c r="AG2690" s="5"/>
      <c r="AH2690" s="5" t="s">
        <v>11828</v>
      </c>
    </row>
    <row r="2691" spans="2:35" ht="21" customHeight="1" outlineLevel="4" x14ac:dyDescent="0.2">
      <c r="B2691" s="42">
        <v>2165</v>
      </c>
      <c r="C2691" s="5" t="s">
        <v>11955</v>
      </c>
      <c r="D2691" s="5" t="s">
        <v>11956</v>
      </c>
      <c r="E2691" s="6" t="s">
        <v>11957</v>
      </c>
      <c r="F2691" s="10"/>
      <c r="G2691" s="11" t="s">
        <v>11877</v>
      </c>
      <c r="H2691" s="12">
        <v>48</v>
      </c>
      <c r="I2691" s="13" t="s">
        <v>41</v>
      </c>
      <c r="J2691" s="13"/>
      <c r="K2691" s="13"/>
      <c r="L2691" s="4">
        <v>8</v>
      </c>
      <c r="M2691" s="14">
        <f>87*(1-P3/100)</f>
        <v>87</v>
      </c>
      <c r="N2691" s="15"/>
      <c r="O2691" s="13">
        <f t="shared" si="115"/>
        <v>0</v>
      </c>
      <c r="P2691" s="22">
        <f>0.052*N2691</f>
        <v>0</v>
      </c>
      <c r="Q2691" s="23">
        <f>0.00015*N2691</f>
        <v>0</v>
      </c>
      <c r="R2691" s="24"/>
      <c r="S2691" s="25" t="s">
        <v>11958</v>
      </c>
      <c r="T2691" s="25" t="s">
        <v>43</v>
      </c>
      <c r="U2691" s="5" t="s">
        <v>11891</v>
      </c>
      <c r="V2691" s="5"/>
      <c r="W2691" s="5" t="s">
        <v>46</v>
      </c>
      <c r="X2691" s="5"/>
      <c r="Y2691" s="5"/>
      <c r="Z2691" s="5" t="str">
        <f>HYPERLINK("https://knigipp.ru/api/getInfo/image/f52e258f-db8c-11ee-a25a-00155d82e908")</f>
        <v>https://knigipp.ru/api/getInfo/image/f52e258f-db8c-11ee-a25a-00155d82e908</v>
      </c>
      <c r="AA2691" s="33">
        <v>10</v>
      </c>
      <c r="AB2691" s="5"/>
      <c r="AC2691" s="5" t="s">
        <v>140</v>
      </c>
      <c r="AD2691" s="5"/>
      <c r="AE2691" s="5" t="s">
        <v>49</v>
      </c>
      <c r="AF2691" s="5"/>
      <c r="AG2691" s="5" t="s">
        <v>11342</v>
      </c>
      <c r="AH2691" s="5" t="s">
        <v>11879</v>
      </c>
    </row>
    <row r="2692" spans="2:35" ht="21" customHeight="1" outlineLevel="4" x14ac:dyDescent="0.2">
      <c r="B2692" s="42">
        <v>2166</v>
      </c>
      <c r="C2692" s="5" t="s">
        <v>11959</v>
      </c>
      <c r="D2692" s="5" t="s">
        <v>11960</v>
      </c>
      <c r="E2692" s="6" t="s">
        <v>11961</v>
      </c>
      <c r="F2692" s="10"/>
      <c r="G2692" s="11" t="s">
        <v>11877</v>
      </c>
      <c r="H2692" s="12">
        <v>48</v>
      </c>
      <c r="I2692" s="13" t="s">
        <v>371</v>
      </c>
      <c r="J2692" s="13"/>
      <c r="K2692" s="13"/>
      <c r="L2692" s="4">
        <v>8</v>
      </c>
      <c r="M2692" s="14">
        <f>87*(1-P3/100)</f>
        <v>87</v>
      </c>
      <c r="N2692" s="15"/>
      <c r="O2692" s="13">
        <f t="shared" si="115"/>
        <v>0</v>
      </c>
      <c r="P2692" s="22">
        <f>0.052*N2692</f>
        <v>0</v>
      </c>
      <c r="Q2692" s="23">
        <f>0.00015*N2692</f>
        <v>0</v>
      </c>
      <c r="R2692" s="24"/>
      <c r="S2692" s="25" t="s">
        <v>11962</v>
      </c>
      <c r="T2692" s="25" t="s">
        <v>43</v>
      </c>
      <c r="U2692" s="5"/>
      <c r="V2692" s="5"/>
      <c r="W2692" s="5" t="s">
        <v>46</v>
      </c>
      <c r="X2692" s="5"/>
      <c r="Y2692" s="5"/>
      <c r="Z2692" s="5" t="str">
        <f>HYPERLINK("https://knigipp.ru/api/getInfo/image/a09abec4-f572-11e9-a235-ac1f6b442184")</f>
        <v>https://knigipp.ru/api/getInfo/image/a09abec4-f572-11e9-a235-ac1f6b442184</v>
      </c>
      <c r="AA2692" s="33">
        <v>10</v>
      </c>
      <c r="AB2692" s="5"/>
      <c r="AC2692" s="5" t="s">
        <v>140</v>
      </c>
      <c r="AD2692" s="5"/>
      <c r="AE2692" s="5" t="s">
        <v>49</v>
      </c>
      <c r="AF2692" s="5"/>
      <c r="AG2692" s="5" t="s">
        <v>11342</v>
      </c>
      <c r="AH2692" s="5" t="s">
        <v>11879</v>
      </c>
    </row>
    <row r="2693" spans="2:35" ht="21" customHeight="1" outlineLevel="4" x14ac:dyDescent="0.2">
      <c r="B2693" s="42">
        <v>2167</v>
      </c>
      <c r="C2693" s="5" t="s">
        <v>11963</v>
      </c>
      <c r="D2693" s="5" t="s">
        <v>11964</v>
      </c>
      <c r="E2693" s="6" t="s">
        <v>11965</v>
      </c>
      <c r="F2693" s="10"/>
      <c r="G2693" s="11" t="s">
        <v>11945</v>
      </c>
      <c r="H2693" s="12">
        <v>48</v>
      </c>
      <c r="I2693" s="13" t="s">
        <v>41</v>
      </c>
      <c r="J2693" s="13"/>
      <c r="K2693" s="13"/>
      <c r="L2693" s="4">
        <v>8</v>
      </c>
      <c r="M2693" s="14">
        <f>87*(1-P3/100)</f>
        <v>87</v>
      </c>
      <c r="N2693" s="15"/>
      <c r="O2693" s="13">
        <f t="shared" si="115"/>
        <v>0</v>
      </c>
      <c r="P2693" s="22">
        <f>0.065*N2693</f>
        <v>0</v>
      </c>
      <c r="Q2693" s="30">
        <f>0.0001*N2693</f>
        <v>0</v>
      </c>
      <c r="R2693" s="24"/>
      <c r="S2693" s="25" t="s">
        <v>11966</v>
      </c>
      <c r="T2693" s="25" t="s">
        <v>43</v>
      </c>
      <c r="U2693" s="5"/>
      <c r="V2693" s="5"/>
      <c r="W2693" s="5" t="s">
        <v>7753</v>
      </c>
      <c r="X2693" s="5"/>
      <c r="Y2693" s="5"/>
      <c r="Z2693" s="5" t="str">
        <f>HYPERLINK("https://knigipp.ru/api/getInfo/image/6bd8074c-2308-11e9-a21c-ac1f6b442184")</f>
        <v>https://knigipp.ru/api/getInfo/image/6bd8074c-2308-11e9-a21c-ac1f6b442184</v>
      </c>
      <c r="AA2693" s="33">
        <v>10</v>
      </c>
      <c r="AB2693" s="5"/>
      <c r="AC2693" s="5" t="s">
        <v>140</v>
      </c>
      <c r="AD2693" s="5"/>
      <c r="AE2693" s="5" t="s">
        <v>49</v>
      </c>
      <c r="AF2693" s="5"/>
      <c r="AG2693" s="5"/>
      <c r="AH2693" s="5" t="s">
        <v>11879</v>
      </c>
    </row>
    <row r="2694" spans="2:35" ht="21" customHeight="1" outlineLevel="4" x14ac:dyDescent="0.2">
      <c r="B2694" s="42">
        <v>2168</v>
      </c>
      <c r="C2694" s="5" t="s">
        <v>11967</v>
      </c>
      <c r="D2694" s="5" t="s">
        <v>11968</v>
      </c>
      <c r="E2694" s="6" t="s">
        <v>11969</v>
      </c>
      <c r="F2694" s="10"/>
      <c r="G2694" s="11" t="s">
        <v>11877</v>
      </c>
      <c r="H2694" s="12">
        <v>48</v>
      </c>
      <c r="I2694" s="13" t="s">
        <v>371</v>
      </c>
      <c r="J2694" s="13"/>
      <c r="K2694" s="13"/>
      <c r="L2694" s="4">
        <v>8</v>
      </c>
      <c r="M2694" s="14">
        <f>87*(1-P3/100)</f>
        <v>87</v>
      </c>
      <c r="N2694" s="15"/>
      <c r="O2694" s="13">
        <f t="shared" si="115"/>
        <v>0</v>
      </c>
      <c r="P2694" s="22">
        <f>0.052*N2694</f>
        <v>0</v>
      </c>
      <c r="Q2694" s="23">
        <f>0.00015*N2694</f>
        <v>0</v>
      </c>
      <c r="R2694" s="24"/>
      <c r="S2694" s="25" t="s">
        <v>11970</v>
      </c>
      <c r="T2694" s="25" t="s">
        <v>43</v>
      </c>
      <c r="U2694" s="5" t="s">
        <v>157</v>
      </c>
      <c r="V2694" s="5"/>
      <c r="W2694" s="5" t="s">
        <v>46</v>
      </c>
      <c r="X2694" s="5"/>
      <c r="Y2694" s="5"/>
      <c r="Z2694" s="5" t="str">
        <f>HYPERLINK("https://knigipp.ru/api/getInfo/image/186149ce-fbc0-11e9-a236-ac1f6b442184")</f>
        <v>https://knigipp.ru/api/getInfo/image/186149ce-fbc0-11e9-a236-ac1f6b442184</v>
      </c>
      <c r="AA2694" s="33">
        <v>10</v>
      </c>
      <c r="AB2694" s="5"/>
      <c r="AC2694" s="5" t="s">
        <v>140</v>
      </c>
      <c r="AD2694" s="5"/>
      <c r="AE2694" s="5" t="s">
        <v>49</v>
      </c>
      <c r="AF2694" s="5"/>
      <c r="AG2694" s="5" t="s">
        <v>11342</v>
      </c>
      <c r="AH2694" s="5" t="s">
        <v>11879</v>
      </c>
    </row>
    <row r="2695" spans="2:35" ht="21" customHeight="1" outlineLevel="4" x14ac:dyDescent="0.2">
      <c r="B2695" s="42">
        <v>2169</v>
      </c>
      <c r="C2695" s="5" t="s">
        <v>11971</v>
      </c>
      <c r="D2695" s="5" t="s">
        <v>11972</v>
      </c>
      <c r="E2695" s="6" t="s">
        <v>11973</v>
      </c>
      <c r="F2695" s="10"/>
      <c r="G2695" s="11" t="s">
        <v>11899</v>
      </c>
      <c r="H2695" s="12">
        <v>48</v>
      </c>
      <c r="I2695" s="13" t="s">
        <v>261</v>
      </c>
      <c r="J2695" s="13"/>
      <c r="K2695" s="13"/>
      <c r="L2695" s="4">
        <v>8</v>
      </c>
      <c r="M2695" s="14">
        <f>87*(1-P3/100)</f>
        <v>87</v>
      </c>
      <c r="N2695" s="15"/>
      <c r="O2695" s="13">
        <f t="shared" si="115"/>
        <v>0</v>
      </c>
      <c r="P2695" s="22">
        <f>0.065*N2695</f>
        <v>0</v>
      </c>
      <c r="Q2695" s="23">
        <f>0.00009*N2695</f>
        <v>0</v>
      </c>
      <c r="R2695" s="24"/>
      <c r="S2695" s="25" t="s">
        <v>11974</v>
      </c>
      <c r="T2695" s="25" t="s">
        <v>43</v>
      </c>
      <c r="U2695" s="5"/>
      <c r="V2695" s="5" t="s">
        <v>11975</v>
      </c>
      <c r="W2695" s="5" t="s">
        <v>46</v>
      </c>
      <c r="X2695" s="5"/>
      <c r="Y2695" s="5"/>
      <c r="Z2695" s="5" t="str">
        <f>HYPERLINK("https://knigipp.ru/api/getInfo/image/4e41445a-55a5-11f0-a27e-00155d82e908")</f>
        <v>https://knigipp.ru/api/getInfo/image/4e41445a-55a5-11f0-a27e-00155d82e908</v>
      </c>
      <c r="AA2695" s="33">
        <v>10</v>
      </c>
      <c r="AB2695" s="5" t="s">
        <v>47</v>
      </c>
      <c r="AC2695" s="5" t="s">
        <v>140</v>
      </c>
      <c r="AD2695" s="5"/>
      <c r="AE2695" s="5" t="s">
        <v>49</v>
      </c>
      <c r="AF2695" s="5"/>
      <c r="AG2695" s="5"/>
      <c r="AH2695" s="5" t="s">
        <v>11840</v>
      </c>
    </row>
    <row r="2696" spans="2:35" ht="21" customHeight="1" outlineLevel="4" x14ac:dyDescent="0.2">
      <c r="B2696" s="42">
        <v>2170</v>
      </c>
      <c r="C2696" s="5" t="s">
        <v>11976</v>
      </c>
      <c r="D2696" s="5" t="s">
        <v>11977</v>
      </c>
      <c r="E2696" s="6" t="s">
        <v>11978</v>
      </c>
      <c r="F2696" s="10"/>
      <c r="G2696" s="11" t="s">
        <v>11883</v>
      </c>
      <c r="H2696" s="12">
        <v>48</v>
      </c>
      <c r="I2696" s="13" t="s">
        <v>261</v>
      </c>
      <c r="J2696" s="13"/>
      <c r="K2696" s="13"/>
      <c r="L2696" s="4">
        <v>8</v>
      </c>
      <c r="M2696" s="14">
        <f>87*(1-P3/100)</f>
        <v>87</v>
      </c>
      <c r="N2696" s="15"/>
      <c r="O2696" s="13">
        <f t="shared" si="115"/>
        <v>0</v>
      </c>
      <c r="P2696" s="22">
        <f>0.052*N2696</f>
        <v>0</v>
      </c>
      <c r="Q2696" s="23">
        <f>0.00015*N2696</f>
        <v>0</v>
      </c>
      <c r="R2696" s="24"/>
      <c r="S2696" s="25" t="s">
        <v>11979</v>
      </c>
      <c r="T2696" s="25" t="s">
        <v>43</v>
      </c>
      <c r="U2696" s="5"/>
      <c r="V2696" s="5"/>
      <c r="W2696" s="5" t="s">
        <v>46</v>
      </c>
      <c r="X2696" s="5" t="s">
        <v>9262</v>
      </c>
      <c r="Y2696" s="5"/>
      <c r="Z2696" s="5" t="str">
        <f>HYPERLINK("https://knigipp.ru/api/getInfo/image/90debfba-c686-11e1-81d3-5ef3fc502493")</f>
        <v>https://knigipp.ru/api/getInfo/image/90debfba-c686-11e1-81d3-5ef3fc502493</v>
      </c>
      <c r="AA2696" s="33">
        <v>10</v>
      </c>
      <c r="AB2696" s="5"/>
      <c r="AC2696" s="5" t="s">
        <v>140</v>
      </c>
      <c r="AD2696" s="5"/>
      <c r="AE2696" s="5" t="s">
        <v>49</v>
      </c>
      <c r="AF2696" s="5"/>
      <c r="AG2696" s="5" t="s">
        <v>11342</v>
      </c>
      <c r="AH2696" s="5" t="s">
        <v>11879</v>
      </c>
    </row>
    <row r="2697" spans="2:35" ht="21" customHeight="1" outlineLevel="4" x14ac:dyDescent="0.2">
      <c r="B2697" s="43">
        <v>2171</v>
      </c>
      <c r="C2697" s="8" t="s">
        <v>11980</v>
      </c>
      <c r="D2697" s="8" t="s">
        <v>11981</v>
      </c>
      <c r="E2697" s="9" t="s">
        <v>11982</v>
      </c>
      <c r="F2697" s="16"/>
      <c r="G2697" s="17" t="s">
        <v>11983</v>
      </c>
      <c r="H2697" s="18">
        <v>48</v>
      </c>
      <c r="I2697" s="19" t="s">
        <v>261</v>
      </c>
      <c r="J2697" s="19"/>
      <c r="K2697" s="19"/>
      <c r="L2697" s="7">
        <v>8</v>
      </c>
      <c r="M2697" s="21">
        <f>87*(1-P3/100)</f>
        <v>87</v>
      </c>
      <c r="N2697" s="15"/>
      <c r="O2697" s="19">
        <f t="shared" si="115"/>
        <v>0</v>
      </c>
      <c r="P2697" s="26">
        <f>0.053*N2697</f>
        <v>0</v>
      </c>
      <c r="Q2697" s="27">
        <f>0.00009*N2697</f>
        <v>0</v>
      </c>
      <c r="R2697" s="28" t="s">
        <v>81</v>
      </c>
      <c r="S2697" s="29" t="s">
        <v>11984</v>
      </c>
      <c r="T2697" s="29" t="s">
        <v>43</v>
      </c>
      <c r="U2697" s="8"/>
      <c r="V2697" s="8" t="s">
        <v>11985</v>
      </c>
      <c r="W2697" s="8" t="s">
        <v>46</v>
      </c>
      <c r="X2697" s="8"/>
      <c r="Y2697" s="8"/>
      <c r="Z2697" s="8" t="str">
        <f>HYPERLINK("https://knigipp.ru/api/getInfo/image/772f5f84-bbde-11f0-a288-00155d82e908")</f>
        <v>https://knigipp.ru/api/getInfo/image/772f5f84-bbde-11f0-a288-00155d82e908</v>
      </c>
      <c r="AA2697" s="34">
        <v>10</v>
      </c>
      <c r="AB2697" s="8" t="s">
        <v>47</v>
      </c>
      <c r="AC2697" s="8" t="s">
        <v>140</v>
      </c>
      <c r="AD2697" s="8"/>
      <c r="AE2697" s="8" t="s">
        <v>49</v>
      </c>
      <c r="AF2697" s="8"/>
      <c r="AG2697" s="8" t="s">
        <v>11342</v>
      </c>
      <c r="AH2697" s="8" t="s">
        <v>11879</v>
      </c>
      <c r="AI2697" s="55"/>
    </row>
    <row r="2698" spans="2:35" ht="21" customHeight="1" outlineLevel="4" x14ac:dyDescent="0.2">
      <c r="B2698" s="42">
        <v>2172</v>
      </c>
      <c r="C2698" s="5" t="s">
        <v>11986</v>
      </c>
      <c r="D2698" s="5" t="s">
        <v>11987</v>
      </c>
      <c r="E2698" s="6" t="s">
        <v>11988</v>
      </c>
      <c r="F2698" s="10"/>
      <c r="G2698" s="11" t="s">
        <v>11877</v>
      </c>
      <c r="H2698" s="12">
        <v>48</v>
      </c>
      <c r="I2698" s="13" t="s">
        <v>371</v>
      </c>
      <c r="J2698" s="13"/>
      <c r="K2698" s="13"/>
      <c r="L2698" s="4">
        <v>8</v>
      </c>
      <c r="M2698" s="14">
        <f>87*(1-P3/100)</f>
        <v>87</v>
      </c>
      <c r="N2698" s="15"/>
      <c r="O2698" s="13">
        <f t="shared" si="115"/>
        <v>0</v>
      </c>
      <c r="P2698" s="22">
        <f>0.052*N2698</f>
        <v>0</v>
      </c>
      <c r="Q2698" s="23">
        <f>0.00015*N2698</f>
        <v>0</v>
      </c>
      <c r="R2698" s="24"/>
      <c r="S2698" s="25" t="s">
        <v>11989</v>
      </c>
      <c r="T2698" s="25" t="s">
        <v>43</v>
      </c>
      <c r="U2698" s="5" t="s">
        <v>11891</v>
      </c>
      <c r="V2698" s="5"/>
      <c r="W2698" s="5" t="s">
        <v>46</v>
      </c>
      <c r="X2698" s="5"/>
      <c r="Y2698" s="5"/>
      <c r="Z2698" s="5" t="str">
        <f>HYPERLINK("https://knigipp.ru/api/getInfo/image/18a826ce-db8d-11ee-a25a-00155d82e908")</f>
        <v>https://knigipp.ru/api/getInfo/image/18a826ce-db8d-11ee-a25a-00155d82e908</v>
      </c>
      <c r="AA2698" s="33">
        <v>10</v>
      </c>
      <c r="AB2698" s="5" t="s">
        <v>47</v>
      </c>
      <c r="AC2698" s="5" t="s">
        <v>140</v>
      </c>
      <c r="AD2698" s="5"/>
      <c r="AE2698" s="5" t="s">
        <v>49</v>
      </c>
      <c r="AF2698" s="5"/>
      <c r="AG2698" s="5" t="s">
        <v>11342</v>
      </c>
      <c r="AH2698" s="5" t="s">
        <v>11879</v>
      </c>
    </row>
    <row r="2699" spans="2:35" ht="21" customHeight="1" outlineLevel="4" x14ac:dyDescent="0.2">
      <c r="B2699" s="42">
        <v>2173</v>
      </c>
      <c r="C2699" s="5" t="s">
        <v>11990</v>
      </c>
      <c r="D2699" s="5" t="s">
        <v>11991</v>
      </c>
      <c r="E2699" s="6" t="s">
        <v>11992</v>
      </c>
      <c r="F2699" s="10"/>
      <c r="G2699" s="11" t="s">
        <v>11877</v>
      </c>
      <c r="H2699" s="12">
        <v>48</v>
      </c>
      <c r="I2699" s="13" t="s">
        <v>371</v>
      </c>
      <c r="J2699" s="13"/>
      <c r="K2699" s="13"/>
      <c r="L2699" s="4">
        <v>8</v>
      </c>
      <c r="M2699" s="14">
        <f>87*(1-P3/100)</f>
        <v>87</v>
      </c>
      <c r="N2699" s="15"/>
      <c r="O2699" s="13">
        <f t="shared" si="115"/>
        <v>0</v>
      </c>
      <c r="P2699" s="32">
        <f>0.05*N2699</f>
        <v>0</v>
      </c>
      <c r="Q2699" s="23">
        <f>0.00014*N2699</f>
        <v>0</v>
      </c>
      <c r="R2699" s="24"/>
      <c r="S2699" s="25" t="s">
        <v>11993</v>
      </c>
      <c r="T2699" s="25" t="s">
        <v>43</v>
      </c>
      <c r="U2699" s="5" t="s">
        <v>11891</v>
      </c>
      <c r="V2699" s="5"/>
      <c r="W2699" s="5" t="s">
        <v>46</v>
      </c>
      <c r="X2699" s="5"/>
      <c r="Y2699" s="5"/>
      <c r="Z2699" s="5" t="str">
        <f>HYPERLINK("https://knigipp.ru/api/getInfo/image/39cd5d4a-db8d-11ee-a25a-00155d82e908")</f>
        <v>https://knigipp.ru/api/getInfo/image/39cd5d4a-db8d-11ee-a25a-00155d82e908</v>
      </c>
      <c r="AA2699" s="33">
        <v>10</v>
      </c>
      <c r="AB2699" s="5" t="s">
        <v>47</v>
      </c>
      <c r="AC2699" s="5" t="s">
        <v>140</v>
      </c>
      <c r="AD2699" s="5"/>
      <c r="AE2699" s="5" t="s">
        <v>49</v>
      </c>
      <c r="AF2699" s="5"/>
      <c r="AG2699" s="5" t="s">
        <v>11342</v>
      </c>
      <c r="AH2699" s="5" t="s">
        <v>11879</v>
      </c>
    </row>
    <row r="2700" spans="2:35" ht="21" customHeight="1" outlineLevel="4" x14ac:dyDescent="0.2">
      <c r="B2700" s="42">
        <v>2174</v>
      </c>
      <c r="C2700" s="5" t="s">
        <v>11994</v>
      </c>
      <c r="D2700" s="5" t="s">
        <v>11995</v>
      </c>
      <c r="E2700" s="6" t="s">
        <v>11996</v>
      </c>
      <c r="F2700" s="10"/>
      <c r="G2700" s="11" t="s">
        <v>11877</v>
      </c>
      <c r="H2700" s="12">
        <v>48</v>
      </c>
      <c r="I2700" s="13" t="s">
        <v>261</v>
      </c>
      <c r="J2700" s="13"/>
      <c r="K2700" s="13"/>
      <c r="L2700" s="4">
        <v>8</v>
      </c>
      <c r="M2700" s="14">
        <f>87*(1-P3/100)</f>
        <v>87</v>
      </c>
      <c r="N2700" s="15"/>
      <c r="O2700" s="13">
        <f t="shared" si="115"/>
        <v>0</v>
      </c>
      <c r="P2700" s="22">
        <f>0.052*N2700</f>
        <v>0</v>
      </c>
      <c r="Q2700" s="23">
        <f>0.00015*N2700</f>
        <v>0</v>
      </c>
      <c r="R2700" s="24"/>
      <c r="S2700" s="25" t="s">
        <v>11997</v>
      </c>
      <c r="T2700" s="25" t="s">
        <v>43</v>
      </c>
      <c r="U2700" s="5"/>
      <c r="V2700" s="5"/>
      <c r="W2700" s="5" t="s">
        <v>46</v>
      </c>
      <c r="X2700" s="5"/>
      <c r="Y2700" s="5"/>
      <c r="Z2700" s="5" t="str">
        <f>HYPERLINK("https://knigipp.ru/api/getInfo/image/e3f5224f-f572-11e9-a235-ac1f6b442184")</f>
        <v>https://knigipp.ru/api/getInfo/image/e3f5224f-f572-11e9-a235-ac1f6b442184</v>
      </c>
      <c r="AA2700" s="33">
        <v>10</v>
      </c>
      <c r="AB2700" s="5"/>
      <c r="AC2700" s="5" t="s">
        <v>140</v>
      </c>
      <c r="AD2700" s="5"/>
      <c r="AE2700" s="5" t="s">
        <v>49</v>
      </c>
      <c r="AF2700" s="5"/>
      <c r="AG2700" s="5" t="s">
        <v>11342</v>
      </c>
      <c r="AH2700" s="5" t="s">
        <v>11879</v>
      </c>
    </row>
    <row r="2701" spans="2:35" ht="21" customHeight="1" outlineLevel="4" x14ac:dyDescent="0.2">
      <c r="B2701" s="43">
        <v>2175</v>
      </c>
      <c r="C2701" s="8" t="s">
        <v>11998</v>
      </c>
      <c r="D2701" s="8" t="s">
        <v>11999</v>
      </c>
      <c r="E2701" s="9" t="s">
        <v>12000</v>
      </c>
      <c r="F2701" s="16"/>
      <c r="G2701" s="17" t="s">
        <v>12001</v>
      </c>
      <c r="H2701" s="18">
        <v>48</v>
      </c>
      <c r="I2701" s="19" t="s">
        <v>41</v>
      </c>
      <c r="J2701" s="19"/>
      <c r="K2701" s="19"/>
      <c r="L2701" s="7">
        <v>8</v>
      </c>
      <c r="M2701" s="21">
        <f>87*(1-P3/100)</f>
        <v>87</v>
      </c>
      <c r="N2701" s="15"/>
      <c r="O2701" s="19">
        <f t="shared" si="115"/>
        <v>0</v>
      </c>
      <c r="P2701" s="26">
        <f>0.049*N2701</f>
        <v>0</v>
      </c>
      <c r="Q2701" s="27">
        <f>0.00036*N2701</f>
        <v>0</v>
      </c>
      <c r="R2701" s="28" t="s">
        <v>81</v>
      </c>
      <c r="S2701" s="29" t="s">
        <v>12002</v>
      </c>
      <c r="T2701" s="29" t="s">
        <v>43</v>
      </c>
      <c r="U2701" s="8" t="s">
        <v>12003</v>
      </c>
      <c r="V2701" s="8" t="s">
        <v>12004</v>
      </c>
      <c r="W2701" s="8" t="s">
        <v>46</v>
      </c>
      <c r="X2701" s="8"/>
      <c r="Y2701" s="8"/>
      <c r="Z2701" s="8" t="str">
        <f>HYPERLINK("https://knigipp.ru/api/getInfo/image/6b89eddf-e579-11f0-a28c-00155d82e908")</f>
        <v>https://knigipp.ru/api/getInfo/image/6b89eddf-e579-11f0-a28c-00155d82e908</v>
      </c>
      <c r="AA2701" s="34">
        <v>10</v>
      </c>
      <c r="AB2701" s="8" t="s">
        <v>47</v>
      </c>
      <c r="AC2701" s="8" t="s">
        <v>140</v>
      </c>
      <c r="AD2701" s="8"/>
      <c r="AE2701" s="8" t="s">
        <v>49</v>
      </c>
      <c r="AF2701" s="8"/>
      <c r="AG2701" s="8"/>
      <c r="AH2701" s="8" t="s">
        <v>11840</v>
      </c>
      <c r="AI2701" s="55"/>
    </row>
    <row r="2702" spans="2:35" ht="21" customHeight="1" outlineLevel="4" x14ac:dyDescent="0.2">
      <c r="B2702" s="42">
        <v>2176</v>
      </c>
      <c r="C2702" s="5" t="s">
        <v>12005</v>
      </c>
      <c r="D2702" s="5" t="s">
        <v>12006</v>
      </c>
      <c r="E2702" s="6" t="s">
        <v>12007</v>
      </c>
      <c r="F2702" s="10"/>
      <c r="G2702" s="11" t="s">
        <v>11877</v>
      </c>
      <c r="H2702" s="12">
        <v>48</v>
      </c>
      <c r="I2702" s="13" t="s">
        <v>261</v>
      </c>
      <c r="J2702" s="13"/>
      <c r="K2702" s="13"/>
      <c r="L2702" s="4">
        <v>8</v>
      </c>
      <c r="M2702" s="14">
        <f>87*(1-P3/100)</f>
        <v>87</v>
      </c>
      <c r="N2702" s="15"/>
      <c r="O2702" s="13">
        <f t="shared" si="115"/>
        <v>0</v>
      </c>
      <c r="P2702" s="22">
        <f>0.052*N2702</f>
        <v>0</v>
      </c>
      <c r="Q2702" s="23">
        <f>0.00015*N2702</f>
        <v>0</v>
      </c>
      <c r="R2702" s="24"/>
      <c r="S2702" s="25" t="s">
        <v>12008</v>
      </c>
      <c r="T2702" s="25" t="s">
        <v>43</v>
      </c>
      <c r="U2702" s="5" t="s">
        <v>11891</v>
      </c>
      <c r="V2702" s="5"/>
      <c r="W2702" s="5" t="s">
        <v>46</v>
      </c>
      <c r="X2702" s="5"/>
      <c r="Y2702" s="5"/>
      <c r="Z2702" s="5" t="str">
        <f>HYPERLINK("https://knigipp.ru/api/getInfo/image/5cdf6b2b-db8c-11ee-a25a-00155d82e908")</f>
        <v>https://knigipp.ru/api/getInfo/image/5cdf6b2b-db8c-11ee-a25a-00155d82e908</v>
      </c>
      <c r="AA2702" s="33">
        <v>10</v>
      </c>
      <c r="AB2702" s="5" t="s">
        <v>47</v>
      </c>
      <c r="AC2702" s="5" t="s">
        <v>140</v>
      </c>
      <c r="AD2702" s="5"/>
      <c r="AE2702" s="5" t="s">
        <v>49</v>
      </c>
      <c r="AF2702" s="5"/>
      <c r="AG2702" s="5" t="s">
        <v>11342</v>
      </c>
      <c r="AH2702" s="5" t="s">
        <v>11879</v>
      </c>
    </row>
    <row r="2703" spans="2:35" ht="21" customHeight="1" outlineLevel="4" x14ac:dyDescent="0.2">
      <c r="B2703" s="42">
        <v>2177</v>
      </c>
      <c r="C2703" s="5" t="s">
        <v>12009</v>
      </c>
      <c r="D2703" s="5" t="s">
        <v>12010</v>
      </c>
      <c r="E2703" s="6" t="s">
        <v>12011</v>
      </c>
      <c r="F2703" s="10"/>
      <c r="G2703" s="11" t="s">
        <v>12012</v>
      </c>
      <c r="H2703" s="12">
        <v>48</v>
      </c>
      <c r="I2703" s="13" t="s">
        <v>261</v>
      </c>
      <c r="J2703" s="13"/>
      <c r="K2703" s="13"/>
      <c r="L2703" s="4">
        <v>8</v>
      </c>
      <c r="M2703" s="14">
        <f>87*(1-P3/100)</f>
        <v>87</v>
      </c>
      <c r="N2703" s="15"/>
      <c r="O2703" s="13">
        <f t="shared" si="115"/>
        <v>0</v>
      </c>
      <c r="P2703" s="22">
        <f>0.066*N2703</f>
        <v>0</v>
      </c>
      <c r="Q2703" s="30">
        <f>0.0001*N2703</f>
        <v>0</v>
      </c>
      <c r="R2703" s="24"/>
      <c r="S2703" s="25" t="s">
        <v>12013</v>
      </c>
      <c r="T2703" s="25" t="s">
        <v>43</v>
      </c>
      <c r="U2703" s="5" t="s">
        <v>12014</v>
      </c>
      <c r="V2703" s="5"/>
      <c r="W2703" s="5" t="s">
        <v>46</v>
      </c>
      <c r="X2703" s="5"/>
      <c r="Y2703" s="5"/>
      <c r="Z2703" s="5" t="str">
        <f>HYPERLINK("https://knigipp.ru/api/getInfo/image/99b6e1c0-98dc-11e9-a227-ac1f6b442184")</f>
        <v>https://knigipp.ru/api/getInfo/image/99b6e1c0-98dc-11e9-a227-ac1f6b442184</v>
      </c>
      <c r="AA2703" s="33">
        <v>10</v>
      </c>
      <c r="AB2703" s="5"/>
      <c r="AC2703" s="5" t="s">
        <v>140</v>
      </c>
      <c r="AD2703" s="5"/>
      <c r="AE2703" s="5" t="s">
        <v>49</v>
      </c>
      <c r="AF2703" s="5"/>
      <c r="AG2703" s="5" t="s">
        <v>11342</v>
      </c>
      <c r="AH2703" s="5" t="s">
        <v>11879</v>
      </c>
    </row>
    <row r="2704" spans="2:35" ht="21" customHeight="1" outlineLevel="4" x14ac:dyDescent="0.2">
      <c r="B2704" s="42">
        <v>2178</v>
      </c>
      <c r="C2704" s="5" t="s">
        <v>12015</v>
      </c>
      <c r="D2704" s="5" t="s">
        <v>12016</v>
      </c>
      <c r="E2704" s="6" t="s">
        <v>12017</v>
      </c>
      <c r="F2704" s="10"/>
      <c r="G2704" s="11" t="s">
        <v>11883</v>
      </c>
      <c r="H2704" s="12">
        <v>48</v>
      </c>
      <c r="I2704" s="13" t="s">
        <v>261</v>
      </c>
      <c r="J2704" s="13"/>
      <c r="K2704" s="13"/>
      <c r="L2704" s="4">
        <v>8</v>
      </c>
      <c r="M2704" s="14">
        <f>87*(1-P3/100)</f>
        <v>87</v>
      </c>
      <c r="N2704" s="15"/>
      <c r="O2704" s="13">
        <f t="shared" si="115"/>
        <v>0</v>
      </c>
      <c r="P2704" s="13">
        <v>0</v>
      </c>
      <c r="Q2704" s="13">
        <v>0</v>
      </c>
      <c r="R2704" s="24"/>
      <c r="S2704" s="25" t="s">
        <v>12018</v>
      </c>
      <c r="T2704" s="25" t="s">
        <v>43</v>
      </c>
      <c r="U2704" s="5"/>
      <c r="V2704" s="5"/>
      <c r="W2704" s="5" t="s">
        <v>46</v>
      </c>
      <c r="X2704" s="5"/>
      <c r="Y2704" s="5"/>
      <c r="Z2704" s="5" t="str">
        <f>HYPERLINK("https://knigipp.ru/api/getInfo/image/0092232b-b587-11ec-a211-ac1f6b442185")</f>
        <v>https://knigipp.ru/api/getInfo/image/0092232b-b587-11ec-a211-ac1f6b442185</v>
      </c>
      <c r="AA2704" s="33">
        <v>10</v>
      </c>
      <c r="AB2704" s="5"/>
      <c r="AC2704" s="5" t="s">
        <v>140</v>
      </c>
      <c r="AD2704" s="5"/>
      <c r="AE2704" s="5" t="s">
        <v>49</v>
      </c>
      <c r="AF2704" s="5"/>
      <c r="AG2704" s="5"/>
      <c r="AH2704" s="5" t="s">
        <v>11879</v>
      </c>
    </row>
    <row r="2705" spans="2:35" ht="21" customHeight="1" outlineLevel="4" x14ac:dyDescent="0.2">
      <c r="B2705" s="42">
        <v>2179</v>
      </c>
      <c r="C2705" s="5" t="s">
        <v>12019</v>
      </c>
      <c r="D2705" s="5" t="s">
        <v>12020</v>
      </c>
      <c r="E2705" s="6" t="s">
        <v>12021</v>
      </c>
      <c r="F2705" s="10"/>
      <c r="G2705" s="11" t="s">
        <v>11945</v>
      </c>
      <c r="H2705" s="12">
        <v>48</v>
      </c>
      <c r="I2705" s="13" t="s">
        <v>371</v>
      </c>
      <c r="J2705" s="13"/>
      <c r="K2705" s="13"/>
      <c r="L2705" s="4">
        <v>8</v>
      </c>
      <c r="M2705" s="14">
        <f>87*(1-P3/100)</f>
        <v>87</v>
      </c>
      <c r="N2705" s="15"/>
      <c r="O2705" s="13">
        <f t="shared" si="115"/>
        <v>0</v>
      </c>
      <c r="P2705" s="22">
        <f>0.066*N2705</f>
        <v>0</v>
      </c>
      <c r="Q2705" s="30">
        <f>0.0001*N2705</f>
        <v>0</v>
      </c>
      <c r="R2705" s="24"/>
      <c r="S2705" s="25" t="s">
        <v>12022</v>
      </c>
      <c r="T2705" s="25" t="s">
        <v>43</v>
      </c>
      <c r="U2705" s="5"/>
      <c r="V2705" s="5"/>
      <c r="W2705" s="5" t="s">
        <v>7753</v>
      </c>
      <c r="X2705" s="5"/>
      <c r="Y2705" s="5"/>
      <c r="Z2705" s="5" t="str">
        <f>HYPERLINK("https://knigipp.ru/api/getInfo/image/322b8fbe-2308-11e9-a21c-ac1f6b442184")</f>
        <v>https://knigipp.ru/api/getInfo/image/322b8fbe-2308-11e9-a21c-ac1f6b442184</v>
      </c>
      <c r="AA2705" s="33">
        <v>10</v>
      </c>
      <c r="AB2705" s="5"/>
      <c r="AC2705" s="5" t="s">
        <v>140</v>
      </c>
      <c r="AD2705" s="5"/>
      <c r="AE2705" s="5" t="s">
        <v>49</v>
      </c>
      <c r="AF2705" s="5"/>
      <c r="AG2705" s="5"/>
      <c r="AH2705" s="5" t="s">
        <v>11879</v>
      </c>
    </row>
    <row r="2706" spans="2:35" ht="21" customHeight="1" outlineLevel="4" x14ac:dyDescent="0.2">
      <c r="B2706" s="42">
        <v>2180</v>
      </c>
      <c r="C2706" s="5" t="s">
        <v>12023</v>
      </c>
      <c r="D2706" s="5" t="s">
        <v>12024</v>
      </c>
      <c r="E2706" s="6" t="s">
        <v>12025</v>
      </c>
      <c r="F2706" s="10"/>
      <c r="G2706" s="11" t="s">
        <v>11877</v>
      </c>
      <c r="H2706" s="12">
        <v>48</v>
      </c>
      <c r="I2706" s="13" t="s">
        <v>371</v>
      </c>
      <c r="J2706" s="13"/>
      <c r="K2706" s="13"/>
      <c r="L2706" s="4">
        <v>8</v>
      </c>
      <c r="M2706" s="14">
        <f>87*(1-P3/100)</f>
        <v>87</v>
      </c>
      <c r="N2706" s="15"/>
      <c r="O2706" s="13">
        <f t="shared" si="115"/>
        <v>0</v>
      </c>
      <c r="P2706" s="22">
        <f>0.054*N2706</f>
        <v>0</v>
      </c>
      <c r="Q2706" s="23">
        <f>0.00017*N2706</f>
        <v>0</v>
      </c>
      <c r="R2706" s="24"/>
      <c r="S2706" s="25" t="s">
        <v>12026</v>
      </c>
      <c r="T2706" s="25" t="s">
        <v>43</v>
      </c>
      <c r="U2706" s="5" t="s">
        <v>11891</v>
      </c>
      <c r="V2706" s="5"/>
      <c r="W2706" s="5" t="s">
        <v>46</v>
      </c>
      <c r="X2706" s="5"/>
      <c r="Y2706" s="5"/>
      <c r="Z2706" s="5" t="str">
        <f>HYPERLINK("https://knigipp.ru/api/getInfo/image/9ccb7593-db8d-11ee-a25a-00155d82e908")</f>
        <v>https://knigipp.ru/api/getInfo/image/9ccb7593-db8d-11ee-a25a-00155d82e908</v>
      </c>
      <c r="AA2706" s="33">
        <v>10</v>
      </c>
      <c r="AB2706" s="5" t="s">
        <v>47</v>
      </c>
      <c r="AC2706" s="5" t="s">
        <v>140</v>
      </c>
      <c r="AD2706" s="5"/>
      <c r="AE2706" s="5" t="s">
        <v>49</v>
      </c>
      <c r="AF2706" s="5"/>
      <c r="AG2706" s="5" t="s">
        <v>11342</v>
      </c>
      <c r="AH2706" s="5" t="s">
        <v>11879</v>
      </c>
    </row>
    <row r="2707" spans="2:35" ht="21" customHeight="1" outlineLevel="4" x14ac:dyDescent="0.2">
      <c r="B2707" s="42">
        <v>2181</v>
      </c>
      <c r="C2707" s="5" t="s">
        <v>12027</v>
      </c>
      <c r="D2707" s="5" t="s">
        <v>12028</v>
      </c>
      <c r="E2707" s="6" t="s">
        <v>12029</v>
      </c>
      <c r="F2707" s="10"/>
      <c r="G2707" s="11" t="s">
        <v>11939</v>
      </c>
      <c r="H2707" s="12">
        <v>48</v>
      </c>
      <c r="I2707" s="13" t="s">
        <v>371</v>
      </c>
      <c r="J2707" s="13"/>
      <c r="K2707" s="13"/>
      <c r="L2707" s="4">
        <v>8</v>
      </c>
      <c r="M2707" s="14">
        <f>87*(1-P3/100)</f>
        <v>87</v>
      </c>
      <c r="N2707" s="15"/>
      <c r="O2707" s="13">
        <f t="shared" si="115"/>
        <v>0</v>
      </c>
      <c r="P2707" s="22">
        <f>0.052*N2707</f>
        <v>0</v>
      </c>
      <c r="Q2707" s="23">
        <f>0.00015*N2707</f>
        <v>0</v>
      </c>
      <c r="R2707" s="24"/>
      <c r="S2707" s="25" t="s">
        <v>12030</v>
      </c>
      <c r="T2707" s="25" t="s">
        <v>43</v>
      </c>
      <c r="U2707" s="5"/>
      <c r="V2707" s="5" t="s">
        <v>12031</v>
      </c>
      <c r="W2707" s="5" t="s">
        <v>46</v>
      </c>
      <c r="X2707" s="5"/>
      <c r="Y2707" s="5"/>
      <c r="Z2707" s="5" t="str">
        <f>HYPERLINK("https://knigipp.ru/api/getInfo/image/7699f54c-3d5b-11f0-a27c-00155d82e908")</f>
        <v>https://knigipp.ru/api/getInfo/image/7699f54c-3d5b-11f0-a27c-00155d82e908</v>
      </c>
      <c r="AA2707" s="33">
        <v>10</v>
      </c>
      <c r="AB2707" s="5" t="s">
        <v>47</v>
      </c>
      <c r="AC2707" s="5" t="s">
        <v>140</v>
      </c>
      <c r="AD2707" s="5"/>
      <c r="AE2707" s="5" t="s">
        <v>49</v>
      </c>
      <c r="AF2707" s="5"/>
      <c r="AG2707" s="5"/>
      <c r="AH2707" s="5" t="s">
        <v>11828</v>
      </c>
    </row>
    <row r="2708" spans="2:35" ht="21" customHeight="1" outlineLevel="4" x14ac:dyDescent="0.2">
      <c r="B2708" s="42">
        <v>2182</v>
      </c>
      <c r="C2708" s="5" t="s">
        <v>12032</v>
      </c>
      <c r="D2708" s="5" t="s">
        <v>12033</v>
      </c>
      <c r="E2708" s="6" t="s">
        <v>12034</v>
      </c>
      <c r="F2708" s="10"/>
      <c r="G2708" s="11" t="s">
        <v>11877</v>
      </c>
      <c r="H2708" s="12">
        <v>48</v>
      </c>
      <c r="I2708" s="13" t="s">
        <v>41</v>
      </c>
      <c r="J2708" s="13"/>
      <c r="K2708" s="13"/>
      <c r="L2708" s="4">
        <v>8</v>
      </c>
      <c r="M2708" s="14">
        <f>87*(1-P3/100)</f>
        <v>87</v>
      </c>
      <c r="N2708" s="15"/>
      <c r="O2708" s="13">
        <f t="shared" si="115"/>
        <v>0</v>
      </c>
      <c r="P2708" s="22">
        <f>0.049*N2708</f>
        <v>0</v>
      </c>
      <c r="Q2708" s="23">
        <f>0.00014*N2708</f>
        <v>0</v>
      </c>
      <c r="R2708" s="24"/>
      <c r="S2708" s="25" t="s">
        <v>12035</v>
      </c>
      <c r="T2708" s="25" t="s">
        <v>43</v>
      </c>
      <c r="U2708" s="5"/>
      <c r="V2708" s="5"/>
      <c r="W2708" s="5" t="s">
        <v>46</v>
      </c>
      <c r="X2708" s="5"/>
      <c r="Y2708" s="5"/>
      <c r="Z2708" s="5" t="str">
        <f>HYPERLINK("https://knigipp.ru/api/getInfo/image/9d316485-c02b-11e9-a232-ac1f6b442184")</f>
        <v>https://knigipp.ru/api/getInfo/image/9d316485-c02b-11e9-a232-ac1f6b442184</v>
      </c>
      <c r="AA2708" s="33">
        <v>10</v>
      </c>
      <c r="AB2708" s="5"/>
      <c r="AC2708" s="5" t="s">
        <v>140</v>
      </c>
      <c r="AD2708" s="5"/>
      <c r="AE2708" s="5" t="s">
        <v>49</v>
      </c>
      <c r="AF2708" s="5"/>
      <c r="AG2708" s="5" t="s">
        <v>11342</v>
      </c>
      <c r="AH2708" s="5" t="s">
        <v>11879</v>
      </c>
    </row>
    <row r="2709" spans="2:35" ht="21" customHeight="1" outlineLevel="4" x14ac:dyDescent="0.2">
      <c r="B2709" s="42">
        <v>2183</v>
      </c>
      <c r="C2709" s="5" t="s">
        <v>12036</v>
      </c>
      <c r="D2709" s="5" t="s">
        <v>12037</v>
      </c>
      <c r="E2709" s="6" t="s">
        <v>12038</v>
      </c>
      <c r="F2709" s="10"/>
      <c r="G2709" s="11" t="s">
        <v>12039</v>
      </c>
      <c r="H2709" s="12">
        <v>48</v>
      </c>
      <c r="I2709" s="13" t="s">
        <v>41</v>
      </c>
      <c r="J2709" s="13"/>
      <c r="K2709" s="13"/>
      <c r="L2709" s="4">
        <v>8</v>
      </c>
      <c r="M2709" s="14">
        <f>87*(1-P3/100)</f>
        <v>87</v>
      </c>
      <c r="N2709" s="15"/>
      <c r="O2709" s="13">
        <f t="shared" si="115"/>
        <v>0</v>
      </c>
      <c r="P2709" s="22">
        <f>0.065*N2709</f>
        <v>0</v>
      </c>
      <c r="Q2709" s="30">
        <f>0.0001*N2709</f>
        <v>0</v>
      </c>
      <c r="R2709" s="24"/>
      <c r="S2709" s="25" t="s">
        <v>12040</v>
      </c>
      <c r="T2709" s="25" t="s">
        <v>43</v>
      </c>
      <c r="U2709" s="5" t="s">
        <v>7613</v>
      </c>
      <c r="V2709" s="5"/>
      <c r="W2709" s="5" t="s">
        <v>46</v>
      </c>
      <c r="X2709" s="5"/>
      <c r="Y2709" s="5"/>
      <c r="Z2709" s="5" t="str">
        <f>HYPERLINK("https://knigipp.ru/api/getInfo/image/c3cb31fe-264f-11ea-a239-ac1f6b442184")</f>
        <v>https://knigipp.ru/api/getInfo/image/c3cb31fe-264f-11ea-a239-ac1f6b442184</v>
      </c>
      <c r="AA2709" s="33">
        <v>10</v>
      </c>
      <c r="AB2709" s="5"/>
      <c r="AC2709" s="5" t="s">
        <v>140</v>
      </c>
      <c r="AD2709" s="5"/>
      <c r="AE2709" s="5" t="s">
        <v>49</v>
      </c>
      <c r="AF2709" s="5"/>
      <c r="AG2709" s="5"/>
      <c r="AH2709" s="5" t="s">
        <v>11879</v>
      </c>
    </row>
    <row r="2710" spans="2:35" ht="21" customHeight="1" outlineLevel="4" x14ac:dyDescent="0.2">
      <c r="B2710" s="42">
        <v>2184</v>
      </c>
      <c r="C2710" s="5" t="s">
        <v>12041</v>
      </c>
      <c r="D2710" s="5" t="s">
        <v>12042</v>
      </c>
      <c r="E2710" s="6" t="s">
        <v>12043</v>
      </c>
      <c r="F2710" s="10"/>
      <c r="G2710" s="11" t="s">
        <v>11877</v>
      </c>
      <c r="H2710" s="12">
        <v>48</v>
      </c>
      <c r="I2710" s="13" t="s">
        <v>261</v>
      </c>
      <c r="J2710" s="13"/>
      <c r="K2710" s="13"/>
      <c r="L2710" s="4">
        <v>8</v>
      </c>
      <c r="M2710" s="14">
        <f>87*(1-P3/100)</f>
        <v>87</v>
      </c>
      <c r="N2710" s="15"/>
      <c r="O2710" s="13">
        <f t="shared" si="115"/>
        <v>0</v>
      </c>
      <c r="P2710" s="22">
        <f>0.052*N2710</f>
        <v>0</v>
      </c>
      <c r="Q2710" s="23">
        <f>0.00015*N2710</f>
        <v>0</v>
      </c>
      <c r="R2710" s="24"/>
      <c r="S2710" s="25" t="s">
        <v>12044</v>
      </c>
      <c r="T2710" s="25" t="s">
        <v>43</v>
      </c>
      <c r="U2710" s="5" t="s">
        <v>11891</v>
      </c>
      <c r="V2710" s="5"/>
      <c r="W2710" s="5" t="s">
        <v>46</v>
      </c>
      <c r="X2710" s="5"/>
      <c r="Y2710" s="5"/>
      <c r="Z2710" s="5" t="str">
        <f>HYPERLINK("https://knigipp.ru/api/getInfo/image/be35cb00-db8d-11ee-a25a-00155d82e908")</f>
        <v>https://knigipp.ru/api/getInfo/image/be35cb00-db8d-11ee-a25a-00155d82e908</v>
      </c>
      <c r="AA2710" s="33">
        <v>10</v>
      </c>
      <c r="AB2710" s="5" t="s">
        <v>47</v>
      </c>
      <c r="AC2710" s="5" t="s">
        <v>140</v>
      </c>
      <c r="AD2710" s="5"/>
      <c r="AE2710" s="5" t="s">
        <v>49</v>
      </c>
      <c r="AF2710" s="5"/>
      <c r="AG2710" s="5" t="s">
        <v>11342</v>
      </c>
      <c r="AH2710" s="5" t="s">
        <v>11879</v>
      </c>
    </row>
    <row r="2711" spans="2:35" ht="21" customHeight="1" outlineLevel="4" x14ac:dyDescent="0.2">
      <c r="B2711" s="42">
        <v>2185</v>
      </c>
      <c r="C2711" s="5" t="s">
        <v>12045</v>
      </c>
      <c r="D2711" s="5" t="s">
        <v>12046</v>
      </c>
      <c r="E2711" s="6" t="s">
        <v>12047</v>
      </c>
      <c r="F2711" s="10"/>
      <c r="G2711" s="11" t="s">
        <v>12039</v>
      </c>
      <c r="H2711" s="12">
        <v>48</v>
      </c>
      <c r="I2711" s="13" t="s">
        <v>41</v>
      </c>
      <c r="J2711" s="13"/>
      <c r="K2711" s="13"/>
      <c r="L2711" s="4">
        <v>8</v>
      </c>
      <c r="M2711" s="14">
        <f>87*(1-P3/100)</f>
        <v>87</v>
      </c>
      <c r="N2711" s="15"/>
      <c r="O2711" s="13">
        <f t="shared" si="115"/>
        <v>0</v>
      </c>
      <c r="P2711" s="22">
        <f>0.065*N2711</f>
        <v>0</v>
      </c>
      <c r="Q2711" s="30">
        <f>0.0001*N2711</f>
        <v>0</v>
      </c>
      <c r="R2711" s="24"/>
      <c r="S2711" s="25" t="s">
        <v>12048</v>
      </c>
      <c r="T2711" s="25" t="s">
        <v>43</v>
      </c>
      <c r="U2711" s="5" t="s">
        <v>12049</v>
      </c>
      <c r="V2711" s="5"/>
      <c r="W2711" s="5" t="s">
        <v>46</v>
      </c>
      <c r="X2711" s="5"/>
      <c r="Y2711" s="5"/>
      <c r="Z2711" s="5" t="str">
        <f>HYPERLINK("https://knigipp.ru/api/getInfo/image/9f2b2f11-20d5-11ea-a237-ac1f6b442184")</f>
        <v>https://knigipp.ru/api/getInfo/image/9f2b2f11-20d5-11ea-a237-ac1f6b442184</v>
      </c>
      <c r="AA2711" s="33">
        <v>10</v>
      </c>
      <c r="AB2711" s="5"/>
      <c r="AC2711" s="5" t="s">
        <v>140</v>
      </c>
      <c r="AD2711" s="5"/>
      <c r="AE2711" s="5" t="s">
        <v>49</v>
      </c>
      <c r="AF2711" s="5"/>
      <c r="AG2711" s="5"/>
      <c r="AH2711" s="5" t="s">
        <v>11879</v>
      </c>
    </row>
    <row r="2712" spans="2:35" ht="21" customHeight="1" outlineLevel="4" x14ac:dyDescent="0.2">
      <c r="B2712" s="43">
        <v>2186</v>
      </c>
      <c r="C2712" s="8" t="s">
        <v>12050</v>
      </c>
      <c r="D2712" s="8" t="s">
        <v>12051</v>
      </c>
      <c r="E2712" s="9" t="s">
        <v>12052</v>
      </c>
      <c r="F2712" s="16"/>
      <c r="G2712" s="17" t="s">
        <v>11918</v>
      </c>
      <c r="H2712" s="18">
        <v>48</v>
      </c>
      <c r="I2712" s="19" t="s">
        <v>41</v>
      </c>
      <c r="J2712" s="19"/>
      <c r="K2712" s="19"/>
      <c r="L2712" s="7">
        <v>8</v>
      </c>
      <c r="M2712" s="21">
        <f>87*(1-P3/100)</f>
        <v>87</v>
      </c>
      <c r="N2712" s="15"/>
      <c r="O2712" s="19">
        <f t="shared" si="115"/>
        <v>0</v>
      </c>
      <c r="P2712" s="26">
        <f>0.066*N2712</f>
        <v>0</v>
      </c>
      <c r="Q2712" s="27">
        <f>0.00007*N2712</f>
        <v>0</v>
      </c>
      <c r="R2712" s="28" t="s">
        <v>81</v>
      </c>
      <c r="S2712" s="29" t="s">
        <v>12053</v>
      </c>
      <c r="T2712" s="29" t="s">
        <v>43</v>
      </c>
      <c r="U2712" s="8" t="s">
        <v>10268</v>
      </c>
      <c r="V2712" s="8" t="s">
        <v>12054</v>
      </c>
      <c r="W2712" s="8" t="s">
        <v>46</v>
      </c>
      <c r="X2712" s="8"/>
      <c r="Y2712" s="8"/>
      <c r="Z2712" s="8" t="str">
        <f>HYPERLINK("https://knigipp.ru/api/getInfo/image/60a6ea28-e578-11f0-a28c-00155d82e908")</f>
        <v>https://knigipp.ru/api/getInfo/image/60a6ea28-e578-11f0-a28c-00155d82e908</v>
      </c>
      <c r="AA2712" s="34">
        <v>10</v>
      </c>
      <c r="AB2712" s="8" t="s">
        <v>47</v>
      </c>
      <c r="AC2712" s="8" t="s">
        <v>140</v>
      </c>
      <c r="AD2712" s="8"/>
      <c r="AE2712" s="8" t="s">
        <v>49</v>
      </c>
      <c r="AF2712" s="8"/>
      <c r="AG2712" s="8"/>
      <c r="AH2712" s="8" t="s">
        <v>11840</v>
      </c>
      <c r="AI2712" s="55"/>
    </row>
    <row r="2713" spans="2:35" ht="21" customHeight="1" outlineLevel="4" x14ac:dyDescent="0.2">
      <c r="B2713" s="42">
        <v>2187</v>
      </c>
      <c r="C2713" s="5" t="s">
        <v>12055</v>
      </c>
      <c r="D2713" s="5" t="s">
        <v>12056</v>
      </c>
      <c r="E2713" s="6" t="s">
        <v>12057</v>
      </c>
      <c r="F2713" s="10"/>
      <c r="G2713" s="11" t="s">
        <v>11883</v>
      </c>
      <c r="H2713" s="12">
        <v>48</v>
      </c>
      <c r="I2713" s="13" t="s">
        <v>261</v>
      </c>
      <c r="J2713" s="13"/>
      <c r="K2713" s="13"/>
      <c r="L2713" s="4">
        <v>8</v>
      </c>
      <c r="M2713" s="14">
        <f>87*(1-P3/100)</f>
        <v>87</v>
      </c>
      <c r="N2713" s="15"/>
      <c r="O2713" s="13">
        <f t="shared" si="115"/>
        <v>0</v>
      </c>
      <c r="P2713" s="22">
        <f>0.054*N2713</f>
        <v>0</v>
      </c>
      <c r="Q2713" s="23">
        <f>0.00016*N2713</f>
        <v>0</v>
      </c>
      <c r="R2713" s="24"/>
      <c r="S2713" s="25" t="s">
        <v>12058</v>
      </c>
      <c r="T2713" s="25" t="s">
        <v>43</v>
      </c>
      <c r="U2713" s="5" t="s">
        <v>4057</v>
      </c>
      <c r="V2713" s="5"/>
      <c r="W2713" s="5" t="s">
        <v>46</v>
      </c>
      <c r="X2713" s="5" t="s">
        <v>11885</v>
      </c>
      <c r="Y2713" s="5"/>
      <c r="Z2713" s="5" t="str">
        <f>HYPERLINK("https://knigipp.ru/api/getInfo/image/90debfe3-c686-11e1-81d3-5ef3fc502493")</f>
        <v>https://knigipp.ru/api/getInfo/image/90debfe3-c686-11e1-81d3-5ef3fc502493</v>
      </c>
      <c r="AA2713" s="33">
        <v>10</v>
      </c>
      <c r="AB2713" s="5"/>
      <c r="AC2713" s="5" t="s">
        <v>140</v>
      </c>
      <c r="AD2713" s="5"/>
      <c r="AE2713" s="5" t="s">
        <v>49</v>
      </c>
      <c r="AF2713" s="5"/>
      <c r="AG2713" s="5" t="s">
        <v>11342</v>
      </c>
      <c r="AH2713" s="5" t="s">
        <v>11879</v>
      </c>
    </row>
    <row r="2714" spans="2:35" ht="21" customHeight="1" outlineLevel="4" x14ac:dyDescent="0.2">
      <c r="B2714" s="43">
        <v>2188</v>
      </c>
      <c r="C2714" s="8" t="s">
        <v>12059</v>
      </c>
      <c r="D2714" s="8" t="s">
        <v>12060</v>
      </c>
      <c r="E2714" s="9" t="s">
        <v>12061</v>
      </c>
      <c r="F2714" s="16"/>
      <c r="G2714" s="17" t="s">
        <v>12001</v>
      </c>
      <c r="H2714" s="18">
        <v>48</v>
      </c>
      <c r="I2714" s="19" t="s">
        <v>41</v>
      </c>
      <c r="J2714" s="19"/>
      <c r="K2714" s="19"/>
      <c r="L2714" s="7">
        <v>8</v>
      </c>
      <c r="M2714" s="21">
        <f>87*(1-P3/100)</f>
        <v>87</v>
      </c>
      <c r="N2714" s="15"/>
      <c r="O2714" s="19">
        <f t="shared" si="115"/>
        <v>0</v>
      </c>
      <c r="P2714" s="26">
        <f>0.066*N2714</f>
        <v>0</v>
      </c>
      <c r="Q2714" s="27">
        <f>0.00007*N2714</f>
        <v>0</v>
      </c>
      <c r="R2714" s="28" t="s">
        <v>81</v>
      </c>
      <c r="S2714" s="29" t="s">
        <v>12062</v>
      </c>
      <c r="T2714" s="29" t="s">
        <v>43</v>
      </c>
      <c r="U2714" s="8" t="s">
        <v>10268</v>
      </c>
      <c r="V2714" s="8" t="s">
        <v>12063</v>
      </c>
      <c r="W2714" s="8" t="s">
        <v>46</v>
      </c>
      <c r="X2714" s="8"/>
      <c r="Y2714" s="8"/>
      <c r="Z2714" s="8" t="str">
        <f>HYPERLINK("https://knigipp.ru/api/getInfo/image/a5a142a4-e578-11f0-a28c-00155d82e908")</f>
        <v>https://knigipp.ru/api/getInfo/image/a5a142a4-e578-11f0-a28c-00155d82e908</v>
      </c>
      <c r="AA2714" s="34">
        <v>10</v>
      </c>
      <c r="AB2714" s="8" t="s">
        <v>47</v>
      </c>
      <c r="AC2714" s="8" t="s">
        <v>140</v>
      </c>
      <c r="AD2714" s="8"/>
      <c r="AE2714" s="8" t="s">
        <v>49</v>
      </c>
      <c r="AF2714" s="8"/>
      <c r="AG2714" s="8"/>
      <c r="AH2714" s="8" t="s">
        <v>11840</v>
      </c>
      <c r="AI2714" s="55"/>
    </row>
    <row r="2715" spans="2:35" ht="21" customHeight="1" outlineLevel="4" x14ac:dyDescent="0.2">
      <c r="B2715" s="42">
        <v>2189</v>
      </c>
      <c r="C2715" s="5" t="s">
        <v>12064</v>
      </c>
      <c r="D2715" s="5" t="s">
        <v>12065</v>
      </c>
      <c r="E2715" s="6" t="s">
        <v>12066</v>
      </c>
      <c r="F2715" s="10"/>
      <c r="G2715" s="11" t="s">
        <v>11939</v>
      </c>
      <c r="H2715" s="12">
        <v>48</v>
      </c>
      <c r="I2715" s="13" t="s">
        <v>371</v>
      </c>
      <c r="J2715" s="13"/>
      <c r="K2715" s="13"/>
      <c r="L2715" s="4">
        <v>8</v>
      </c>
      <c r="M2715" s="14">
        <f>87*(1-P3/100)</f>
        <v>87</v>
      </c>
      <c r="N2715" s="15"/>
      <c r="O2715" s="13">
        <f t="shared" si="115"/>
        <v>0</v>
      </c>
      <c r="P2715" s="22">
        <f>0.052*N2715</f>
        <v>0</v>
      </c>
      <c r="Q2715" s="23">
        <f>0.00015*N2715</f>
        <v>0</v>
      </c>
      <c r="R2715" s="24"/>
      <c r="S2715" s="25" t="s">
        <v>12067</v>
      </c>
      <c r="T2715" s="25" t="s">
        <v>43</v>
      </c>
      <c r="U2715" s="5"/>
      <c r="V2715" s="5" t="s">
        <v>12068</v>
      </c>
      <c r="W2715" s="5" t="s">
        <v>46</v>
      </c>
      <c r="X2715" s="5"/>
      <c r="Y2715" s="5"/>
      <c r="Z2715" s="5" t="str">
        <f>HYPERLINK("https://knigipp.ru/api/getInfo/image/9a396e91-3d5b-11f0-a27c-00155d82e908")</f>
        <v>https://knigipp.ru/api/getInfo/image/9a396e91-3d5b-11f0-a27c-00155d82e908</v>
      </c>
      <c r="AA2715" s="33">
        <v>10</v>
      </c>
      <c r="AB2715" s="5" t="s">
        <v>47</v>
      </c>
      <c r="AC2715" s="5" t="s">
        <v>140</v>
      </c>
      <c r="AD2715" s="5"/>
      <c r="AE2715" s="5" t="s">
        <v>49</v>
      </c>
      <c r="AF2715" s="5"/>
      <c r="AG2715" s="5"/>
      <c r="AH2715" s="5" t="s">
        <v>11828</v>
      </c>
    </row>
    <row r="2716" spans="2:35" ht="21" customHeight="1" outlineLevel="4" x14ac:dyDescent="0.2">
      <c r="B2716" s="42">
        <v>2190</v>
      </c>
      <c r="C2716" s="5" t="s">
        <v>12069</v>
      </c>
      <c r="D2716" s="5" t="s">
        <v>12070</v>
      </c>
      <c r="E2716" s="6" t="s">
        <v>12071</v>
      </c>
      <c r="F2716" s="10"/>
      <c r="G2716" s="11" t="s">
        <v>11889</v>
      </c>
      <c r="H2716" s="12">
        <v>48</v>
      </c>
      <c r="I2716" s="13" t="s">
        <v>371</v>
      </c>
      <c r="J2716" s="13"/>
      <c r="K2716" s="13"/>
      <c r="L2716" s="4">
        <v>8</v>
      </c>
      <c r="M2716" s="14">
        <f>87*(1-P3/100)</f>
        <v>87</v>
      </c>
      <c r="N2716" s="15"/>
      <c r="O2716" s="13">
        <f t="shared" si="115"/>
        <v>0</v>
      </c>
      <c r="P2716" s="22">
        <f>0.052*N2716</f>
        <v>0</v>
      </c>
      <c r="Q2716" s="23">
        <f>0.00015*N2716</f>
        <v>0</v>
      </c>
      <c r="R2716" s="24"/>
      <c r="S2716" s="25" t="s">
        <v>12072</v>
      </c>
      <c r="T2716" s="25" t="s">
        <v>43</v>
      </c>
      <c r="U2716" s="5"/>
      <c r="V2716" s="5"/>
      <c r="W2716" s="5" t="s">
        <v>46</v>
      </c>
      <c r="X2716" s="5"/>
      <c r="Y2716" s="5"/>
      <c r="Z2716" s="5" t="str">
        <f>HYPERLINK("https://knigipp.ru/api/getInfo/image/813d818d-db8e-11ee-a25a-00155d82e908")</f>
        <v>https://knigipp.ru/api/getInfo/image/813d818d-db8e-11ee-a25a-00155d82e908</v>
      </c>
      <c r="AA2716" s="33">
        <v>10</v>
      </c>
      <c r="AB2716" s="5"/>
      <c r="AC2716" s="5" t="s">
        <v>140</v>
      </c>
      <c r="AD2716" s="5"/>
      <c r="AE2716" s="5" t="s">
        <v>49</v>
      </c>
      <c r="AF2716" s="5"/>
      <c r="AG2716" s="5" t="s">
        <v>11342</v>
      </c>
      <c r="AH2716" s="5" t="s">
        <v>11879</v>
      </c>
    </row>
    <row r="2717" spans="2:35" ht="21" customHeight="1" outlineLevel="4" x14ac:dyDescent="0.2">
      <c r="B2717" s="42">
        <v>2191</v>
      </c>
      <c r="C2717" s="5" t="s">
        <v>12073</v>
      </c>
      <c r="D2717" s="5" t="s">
        <v>12074</v>
      </c>
      <c r="E2717" s="6" t="s">
        <v>12075</v>
      </c>
      <c r="F2717" s="10"/>
      <c r="G2717" s="11" t="s">
        <v>11877</v>
      </c>
      <c r="H2717" s="12">
        <v>48</v>
      </c>
      <c r="I2717" s="13" t="s">
        <v>41</v>
      </c>
      <c r="J2717" s="13"/>
      <c r="K2717" s="13"/>
      <c r="L2717" s="4">
        <v>8</v>
      </c>
      <c r="M2717" s="14">
        <f>87*(1-P3/100)</f>
        <v>87</v>
      </c>
      <c r="N2717" s="15"/>
      <c r="O2717" s="13">
        <f t="shared" si="115"/>
        <v>0</v>
      </c>
      <c r="P2717" s="22">
        <f>0.055*N2717</f>
        <v>0</v>
      </c>
      <c r="Q2717" s="23">
        <f>0.00019*N2717</f>
        <v>0</v>
      </c>
      <c r="R2717" s="24"/>
      <c r="S2717" s="25" t="s">
        <v>12076</v>
      </c>
      <c r="T2717" s="25" t="s">
        <v>43</v>
      </c>
      <c r="U2717" s="5"/>
      <c r="V2717" s="5"/>
      <c r="W2717" s="5" t="s">
        <v>46</v>
      </c>
      <c r="X2717" s="5"/>
      <c r="Y2717" s="5"/>
      <c r="Z2717" s="5" t="str">
        <f>HYPERLINK("https://knigipp.ru/api/getInfo/image/acea31ac-c02b-11e9-a232-ac1f6b442184")</f>
        <v>https://knigipp.ru/api/getInfo/image/acea31ac-c02b-11e9-a232-ac1f6b442184</v>
      </c>
      <c r="AA2717" s="33">
        <v>10</v>
      </c>
      <c r="AB2717" s="5"/>
      <c r="AC2717" s="5" t="s">
        <v>140</v>
      </c>
      <c r="AD2717" s="5"/>
      <c r="AE2717" s="5" t="s">
        <v>49</v>
      </c>
      <c r="AF2717" s="5"/>
      <c r="AG2717" s="5" t="s">
        <v>11342</v>
      </c>
      <c r="AH2717" s="5" t="s">
        <v>11879</v>
      </c>
    </row>
    <row r="2718" spans="2:35" ht="21" customHeight="1" outlineLevel="4" x14ac:dyDescent="0.2">
      <c r="B2718" s="43">
        <v>2192</v>
      </c>
      <c r="C2718" s="8" t="s">
        <v>12077</v>
      </c>
      <c r="D2718" s="8" t="s">
        <v>12078</v>
      </c>
      <c r="E2718" s="9" t="s">
        <v>12079</v>
      </c>
      <c r="F2718" s="16"/>
      <c r="G2718" s="17" t="s">
        <v>12080</v>
      </c>
      <c r="H2718" s="18">
        <v>48</v>
      </c>
      <c r="I2718" s="19" t="s">
        <v>371</v>
      </c>
      <c r="J2718" s="19"/>
      <c r="K2718" s="19"/>
      <c r="L2718" s="7">
        <v>8</v>
      </c>
      <c r="M2718" s="21">
        <f>87*(1-P3/100)</f>
        <v>87</v>
      </c>
      <c r="N2718" s="15"/>
      <c r="O2718" s="19">
        <f t="shared" si="115"/>
        <v>0</v>
      </c>
      <c r="P2718" s="26">
        <f>0.054*N2718</f>
        <v>0</v>
      </c>
      <c r="Q2718" s="31">
        <f>0.0001*N2718</f>
        <v>0</v>
      </c>
      <c r="R2718" s="28" t="s">
        <v>81</v>
      </c>
      <c r="S2718" s="29" t="s">
        <v>12081</v>
      </c>
      <c r="T2718" s="29" t="s">
        <v>43</v>
      </c>
      <c r="U2718" s="8" t="s">
        <v>7952</v>
      </c>
      <c r="V2718" s="8" t="s">
        <v>12082</v>
      </c>
      <c r="W2718" s="8" t="s">
        <v>46</v>
      </c>
      <c r="X2718" s="8"/>
      <c r="Y2718" s="8"/>
      <c r="Z2718" s="8" t="str">
        <f>HYPERLINK("https://knigipp.ru/api/getInfo/image/4e2dfa17-25c1-11f0-a279-00155d82e908")</f>
        <v>https://knigipp.ru/api/getInfo/image/4e2dfa17-25c1-11f0-a279-00155d82e908</v>
      </c>
      <c r="AA2718" s="34">
        <v>10</v>
      </c>
      <c r="AB2718" s="8" t="s">
        <v>47</v>
      </c>
      <c r="AC2718" s="8" t="s">
        <v>140</v>
      </c>
      <c r="AD2718" s="8"/>
      <c r="AE2718" s="8" t="s">
        <v>49</v>
      </c>
      <c r="AF2718" s="8"/>
      <c r="AG2718" s="8"/>
      <c r="AH2718" s="8" t="s">
        <v>11840</v>
      </c>
      <c r="AI2718" s="55"/>
    </row>
    <row r="2719" spans="2:35" ht="21" customHeight="1" outlineLevel="4" x14ac:dyDescent="0.2">
      <c r="B2719" s="42">
        <v>2193</v>
      </c>
      <c r="C2719" s="5" t="s">
        <v>12083</v>
      </c>
      <c r="D2719" s="5" t="s">
        <v>12084</v>
      </c>
      <c r="E2719" s="6" t="s">
        <v>12085</v>
      </c>
      <c r="F2719" s="10"/>
      <c r="G2719" s="11" t="s">
        <v>11929</v>
      </c>
      <c r="H2719" s="12">
        <v>48</v>
      </c>
      <c r="I2719" s="13" t="s">
        <v>371</v>
      </c>
      <c r="J2719" s="13"/>
      <c r="K2719" s="13"/>
      <c r="L2719" s="4">
        <v>8</v>
      </c>
      <c r="M2719" s="14">
        <f>87*(1-P3/100)</f>
        <v>87</v>
      </c>
      <c r="N2719" s="15"/>
      <c r="O2719" s="13">
        <f t="shared" si="115"/>
        <v>0</v>
      </c>
      <c r="P2719" s="22">
        <f>0.114*N2719</f>
        <v>0</v>
      </c>
      <c r="Q2719" s="23">
        <f>0.00023*N2719</f>
        <v>0</v>
      </c>
      <c r="R2719" s="24"/>
      <c r="S2719" s="25" t="s">
        <v>12086</v>
      </c>
      <c r="T2719" s="25" t="s">
        <v>43</v>
      </c>
      <c r="U2719" s="5"/>
      <c r="V2719" s="5"/>
      <c r="W2719" s="5" t="s">
        <v>46</v>
      </c>
      <c r="X2719" s="5"/>
      <c r="Y2719" s="5"/>
      <c r="Z2719" s="5" t="str">
        <f>HYPERLINK("https://knigipp.ru/api/getInfo/image/f6b325eb-c02b-11e9-a232-ac1f6b442184")</f>
        <v>https://knigipp.ru/api/getInfo/image/f6b325eb-c02b-11e9-a232-ac1f6b442184</v>
      </c>
      <c r="AA2719" s="33">
        <v>10</v>
      </c>
      <c r="AB2719" s="5"/>
      <c r="AC2719" s="5" t="s">
        <v>140</v>
      </c>
      <c r="AD2719" s="5"/>
      <c r="AE2719" s="5" t="s">
        <v>49</v>
      </c>
      <c r="AF2719" s="5"/>
      <c r="AG2719" s="5" t="s">
        <v>11342</v>
      </c>
      <c r="AH2719" s="5" t="s">
        <v>11879</v>
      </c>
    </row>
    <row r="2720" spans="2:35" ht="21" customHeight="1" outlineLevel="4" x14ac:dyDescent="0.2">
      <c r="B2720" s="42">
        <v>2194</v>
      </c>
      <c r="C2720" s="5" t="s">
        <v>12087</v>
      </c>
      <c r="D2720" s="5" t="s">
        <v>12088</v>
      </c>
      <c r="E2720" s="6" t="s">
        <v>12089</v>
      </c>
      <c r="F2720" s="10"/>
      <c r="G2720" s="11" t="s">
        <v>11883</v>
      </c>
      <c r="H2720" s="12">
        <v>48</v>
      </c>
      <c r="I2720" s="13" t="s">
        <v>371</v>
      </c>
      <c r="J2720" s="13"/>
      <c r="K2720" s="13"/>
      <c r="L2720" s="4">
        <v>8</v>
      </c>
      <c r="M2720" s="14">
        <f>87*(1-P3/100)</f>
        <v>87</v>
      </c>
      <c r="N2720" s="15"/>
      <c r="O2720" s="13">
        <f t="shared" si="115"/>
        <v>0</v>
      </c>
      <c r="P2720" s="22">
        <f>0.066*N2720</f>
        <v>0</v>
      </c>
      <c r="Q2720" s="30">
        <f>0.0001*N2720</f>
        <v>0</v>
      </c>
      <c r="R2720" s="24"/>
      <c r="S2720" s="25" t="s">
        <v>12090</v>
      </c>
      <c r="T2720" s="25" t="s">
        <v>43</v>
      </c>
      <c r="U2720" s="5" t="s">
        <v>8583</v>
      </c>
      <c r="V2720" s="5"/>
      <c r="W2720" s="5" t="s">
        <v>46</v>
      </c>
      <c r="X2720" s="5" t="s">
        <v>10020</v>
      </c>
      <c r="Y2720" s="5"/>
      <c r="Z2720" s="5" t="str">
        <f>HYPERLINK("https://knigipp.ru/api/getInfo/image/90debff5-c686-11e1-81d3-5ef3fc502493")</f>
        <v>https://knigipp.ru/api/getInfo/image/90debff5-c686-11e1-81d3-5ef3fc502493</v>
      </c>
      <c r="AA2720" s="33">
        <v>10</v>
      </c>
      <c r="AB2720" s="5"/>
      <c r="AC2720" s="5" t="s">
        <v>140</v>
      </c>
      <c r="AD2720" s="5"/>
      <c r="AE2720" s="5" t="s">
        <v>49</v>
      </c>
      <c r="AF2720" s="5"/>
      <c r="AG2720" s="5" t="s">
        <v>11342</v>
      </c>
      <c r="AH2720" s="5" t="s">
        <v>11879</v>
      </c>
    </row>
    <row r="2721" spans="2:35" ht="21" customHeight="1" outlineLevel="4" x14ac:dyDescent="0.2">
      <c r="B2721" s="42">
        <v>2195</v>
      </c>
      <c r="C2721" s="5" t="s">
        <v>12091</v>
      </c>
      <c r="D2721" s="5" t="s">
        <v>12088</v>
      </c>
      <c r="E2721" s="6" t="s">
        <v>12092</v>
      </c>
      <c r="F2721" s="10"/>
      <c r="G2721" s="11" t="s">
        <v>11877</v>
      </c>
      <c r="H2721" s="12">
        <v>48</v>
      </c>
      <c r="I2721" s="13" t="s">
        <v>371</v>
      </c>
      <c r="J2721" s="13"/>
      <c r="K2721" s="13"/>
      <c r="L2721" s="4">
        <v>8</v>
      </c>
      <c r="M2721" s="14">
        <f>87*(1-P3/100)</f>
        <v>87</v>
      </c>
      <c r="N2721" s="15"/>
      <c r="O2721" s="13">
        <f t="shared" si="115"/>
        <v>0</v>
      </c>
      <c r="P2721" s="22">
        <f>0.052*N2721</f>
        <v>0</v>
      </c>
      <c r="Q2721" s="23">
        <f>0.00015*N2721</f>
        <v>0</v>
      </c>
      <c r="R2721" s="24"/>
      <c r="S2721" s="25" t="s">
        <v>12093</v>
      </c>
      <c r="T2721" s="25" t="s">
        <v>43</v>
      </c>
      <c r="U2721" s="5" t="s">
        <v>11891</v>
      </c>
      <c r="V2721" s="5"/>
      <c r="W2721" s="5" t="s">
        <v>46</v>
      </c>
      <c r="X2721" s="5"/>
      <c r="Y2721" s="5"/>
      <c r="Z2721" s="5" t="str">
        <f>HYPERLINK("https://knigipp.ru/api/getInfo/image/eb9e71b0-db8d-11ee-a25a-00155d82e908")</f>
        <v>https://knigipp.ru/api/getInfo/image/eb9e71b0-db8d-11ee-a25a-00155d82e908</v>
      </c>
      <c r="AA2721" s="33">
        <v>10</v>
      </c>
      <c r="AB2721" s="5" t="s">
        <v>47</v>
      </c>
      <c r="AC2721" s="5" t="s">
        <v>140</v>
      </c>
      <c r="AD2721" s="5"/>
      <c r="AE2721" s="5" t="s">
        <v>49</v>
      </c>
      <c r="AF2721" s="5"/>
      <c r="AG2721" s="5" t="s">
        <v>11342</v>
      </c>
      <c r="AH2721" s="5" t="s">
        <v>11879</v>
      </c>
    </row>
    <row r="2722" spans="2:35" ht="21" customHeight="1" outlineLevel="4" x14ac:dyDescent="0.2">
      <c r="B2722" s="43">
        <v>2196</v>
      </c>
      <c r="C2722" s="8" t="s">
        <v>12094</v>
      </c>
      <c r="D2722" s="8" t="s">
        <v>12095</v>
      </c>
      <c r="E2722" s="9" t="s">
        <v>12096</v>
      </c>
      <c r="F2722" s="16"/>
      <c r="G2722" s="17" t="s">
        <v>12001</v>
      </c>
      <c r="H2722" s="18">
        <v>48</v>
      </c>
      <c r="I2722" s="19" t="s">
        <v>41</v>
      </c>
      <c r="J2722" s="19"/>
      <c r="K2722" s="19"/>
      <c r="L2722" s="7">
        <v>8</v>
      </c>
      <c r="M2722" s="21">
        <f>87*(1-P3/100)</f>
        <v>87</v>
      </c>
      <c r="N2722" s="15"/>
      <c r="O2722" s="19">
        <f t="shared" si="115"/>
        <v>0</v>
      </c>
      <c r="P2722" s="26">
        <f>0.049*N2722</f>
        <v>0</v>
      </c>
      <c r="Q2722" s="27">
        <f>0.00016*N2722</f>
        <v>0</v>
      </c>
      <c r="R2722" s="28" t="s">
        <v>81</v>
      </c>
      <c r="S2722" s="29" t="s">
        <v>12097</v>
      </c>
      <c r="T2722" s="29" t="s">
        <v>43</v>
      </c>
      <c r="U2722" s="8" t="s">
        <v>10268</v>
      </c>
      <c r="V2722" s="8" t="s">
        <v>12098</v>
      </c>
      <c r="W2722" s="8" t="s">
        <v>46</v>
      </c>
      <c r="X2722" s="8"/>
      <c r="Y2722" s="8"/>
      <c r="Z2722" s="8" t="str">
        <f>HYPERLINK("https://knigipp.ru/api/getInfo/image/44507942-e579-11f0-a28c-00155d82e908")</f>
        <v>https://knigipp.ru/api/getInfo/image/44507942-e579-11f0-a28c-00155d82e908</v>
      </c>
      <c r="AA2722" s="34">
        <v>10</v>
      </c>
      <c r="AB2722" s="8" t="s">
        <v>47</v>
      </c>
      <c r="AC2722" s="8" t="s">
        <v>140</v>
      </c>
      <c r="AD2722" s="8"/>
      <c r="AE2722" s="8" t="s">
        <v>49</v>
      </c>
      <c r="AF2722" s="8"/>
      <c r="AG2722" s="8"/>
      <c r="AH2722" s="8" t="s">
        <v>11840</v>
      </c>
      <c r="AI2722" s="55"/>
    </row>
    <row r="2723" spans="2:35" ht="21" customHeight="1" outlineLevel="4" x14ac:dyDescent="0.2">
      <c r="B2723" s="42">
        <v>2197</v>
      </c>
      <c r="C2723" s="5" t="s">
        <v>12099</v>
      </c>
      <c r="D2723" s="5" t="s">
        <v>12100</v>
      </c>
      <c r="E2723" s="6" t="s">
        <v>12101</v>
      </c>
      <c r="F2723" s="10"/>
      <c r="G2723" s="11" t="s">
        <v>11877</v>
      </c>
      <c r="H2723" s="12">
        <v>48</v>
      </c>
      <c r="I2723" s="13" t="s">
        <v>371</v>
      </c>
      <c r="J2723" s="13"/>
      <c r="K2723" s="13"/>
      <c r="L2723" s="4">
        <v>8</v>
      </c>
      <c r="M2723" s="14">
        <f>87*(1-P3/100)</f>
        <v>87</v>
      </c>
      <c r="N2723" s="15"/>
      <c r="O2723" s="13">
        <f t="shared" si="115"/>
        <v>0</v>
      </c>
      <c r="P2723" s="22">
        <f>0.066*N2723</f>
        <v>0</v>
      </c>
      <c r="Q2723" s="23">
        <f>0.00083*N2723</f>
        <v>0</v>
      </c>
      <c r="R2723" s="24"/>
      <c r="S2723" s="25" t="s">
        <v>12102</v>
      </c>
      <c r="T2723" s="25" t="s">
        <v>43</v>
      </c>
      <c r="U2723" s="5"/>
      <c r="V2723" s="5"/>
      <c r="W2723" s="5" t="s">
        <v>46</v>
      </c>
      <c r="X2723" s="5"/>
      <c r="Y2723" s="5"/>
      <c r="Z2723" s="5" t="str">
        <f>HYPERLINK("https://knigipp.ru/api/getInfo/image/11f1e4d9-e5ed-11e9-a235-ac1f6b442184")</f>
        <v>https://knigipp.ru/api/getInfo/image/11f1e4d9-e5ed-11e9-a235-ac1f6b442184</v>
      </c>
      <c r="AA2723" s="33">
        <v>10</v>
      </c>
      <c r="AB2723" s="5"/>
      <c r="AC2723" s="5" t="s">
        <v>140</v>
      </c>
      <c r="AD2723" s="5"/>
      <c r="AE2723" s="5" t="s">
        <v>49</v>
      </c>
      <c r="AF2723" s="5"/>
      <c r="AG2723" s="5" t="s">
        <v>11342</v>
      </c>
      <c r="AH2723" s="5" t="s">
        <v>11879</v>
      </c>
    </row>
    <row r="2724" spans="2:35" ht="21" customHeight="1" outlineLevel="4" x14ac:dyDescent="0.2">
      <c r="B2724" s="43">
        <v>2198</v>
      </c>
      <c r="C2724" s="8" t="s">
        <v>12103</v>
      </c>
      <c r="D2724" s="8" t="s">
        <v>12104</v>
      </c>
      <c r="E2724" s="9" t="s">
        <v>12105</v>
      </c>
      <c r="F2724" s="16"/>
      <c r="G2724" s="17" t="s">
        <v>11918</v>
      </c>
      <c r="H2724" s="18">
        <v>48</v>
      </c>
      <c r="I2724" s="19" t="s">
        <v>41</v>
      </c>
      <c r="J2724" s="19"/>
      <c r="K2724" s="19"/>
      <c r="L2724" s="7">
        <v>8</v>
      </c>
      <c r="M2724" s="21">
        <f>87*(1-P3/100)</f>
        <v>87</v>
      </c>
      <c r="N2724" s="15"/>
      <c r="O2724" s="19">
        <f t="shared" si="115"/>
        <v>0</v>
      </c>
      <c r="P2724" s="26">
        <f>0.066*N2724</f>
        <v>0</v>
      </c>
      <c r="Q2724" s="27">
        <f>0.00007*N2724</f>
        <v>0</v>
      </c>
      <c r="R2724" s="28" t="s">
        <v>81</v>
      </c>
      <c r="S2724" s="29" t="s">
        <v>12106</v>
      </c>
      <c r="T2724" s="29" t="s">
        <v>43</v>
      </c>
      <c r="U2724" s="8" t="s">
        <v>12107</v>
      </c>
      <c r="V2724" s="8" t="s">
        <v>12108</v>
      </c>
      <c r="W2724" s="8" t="s">
        <v>46</v>
      </c>
      <c r="X2724" s="8"/>
      <c r="Y2724" s="8"/>
      <c r="Z2724" s="8" t="str">
        <f>HYPERLINK("https://knigipp.ru/api/getInfo/image/1927d81f-e579-11f0-a28c-00155d82e908")</f>
        <v>https://knigipp.ru/api/getInfo/image/1927d81f-e579-11f0-a28c-00155d82e908</v>
      </c>
      <c r="AA2724" s="34">
        <v>10</v>
      </c>
      <c r="AB2724" s="8" t="s">
        <v>47</v>
      </c>
      <c r="AC2724" s="8" t="s">
        <v>140</v>
      </c>
      <c r="AD2724" s="8"/>
      <c r="AE2724" s="8" t="s">
        <v>49</v>
      </c>
      <c r="AF2724" s="8"/>
      <c r="AG2724" s="8"/>
      <c r="AH2724" s="8" t="s">
        <v>11840</v>
      </c>
      <c r="AI2724" s="55"/>
    </row>
    <row r="2725" spans="2:35" ht="21" customHeight="1" outlineLevel="4" x14ac:dyDescent="0.2">
      <c r="B2725" s="42">
        <v>2199</v>
      </c>
      <c r="C2725" s="5" t="s">
        <v>12109</v>
      </c>
      <c r="D2725" s="5" t="s">
        <v>12110</v>
      </c>
      <c r="E2725" s="6" t="s">
        <v>12111</v>
      </c>
      <c r="F2725" s="10"/>
      <c r="G2725" s="11" t="s">
        <v>11877</v>
      </c>
      <c r="H2725" s="12">
        <v>48</v>
      </c>
      <c r="I2725" s="13" t="s">
        <v>41</v>
      </c>
      <c r="J2725" s="13"/>
      <c r="K2725" s="13"/>
      <c r="L2725" s="4">
        <v>8</v>
      </c>
      <c r="M2725" s="14">
        <f>87*(1-P3/100)</f>
        <v>87</v>
      </c>
      <c r="N2725" s="15"/>
      <c r="O2725" s="13">
        <f t="shared" si="115"/>
        <v>0</v>
      </c>
      <c r="P2725" s="22">
        <f>0.052*N2725</f>
        <v>0</v>
      </c>
      <c r="Q2725" s="23">
        <f>0.00015*N2725</f>
        <v>0</v>
      </c>
      <c r="R2725" s="24"/>
      <c r="S2725" s="25" t="s">
        <v>12112</v>
      </c>
      <c r="T2725" s="25" t="s">
        <v>43</v>
      </c>
      <c r="U2725" s="5"/>
      <c r="V2725" s="5"/>
      <c r="W2725" s="5" t="s">
        <v>46</v>
      </c>
      <c r="X2725" s="5"/>
      <c r="Y2725" s="5"/>
      <c r="Z2725" s="5" t="str">
        <f>HYPERLINK("https://knigipp.ru/api/getInfo/image/57454a18-fbc0-11e9-a236-ac1f6b442184")</f>
        <v>https://knigipp.ru/api/getInfo/image/57454a18-fbc0-11e9-a236-ac1f6b442184</v>
      </c>
      <c r="AA2725" s="33">
        <v>10</v>
      </c>
      <c r="AB2725" s="5"/>
      <c r="AC2725" s="5" t="s">
        <v>140</v>
      </c>
      <c r="AD2725" s="5"/>
      <c r="AE2725" s="5" t="s">
        <v>49</v>
      </c>
      <c r="AF2725" s="5"/>
      <c r="AG2725" s="5" t="s">
        <v>11342</v>
      </c>
      <c r="AH2725" s="5" t="s">
        <v>11879</v>
      </c>
    </row>
    <row r="2726" spans="2:35" ht="21" customHeight="1" outlineLevel="4" x14ac:dyDescent="0.2">
      <c r="B2726" s="42">
        <v>2200</v>
      </c>
      <c r="C2726" s="5" t="s">
        <v>12113</v>
      </c>
      <c r="D2726" s="5" t="s">
        <v>12114</v>
      </c>
      <c r="E2726" s="6" t="s">
        <v>12115</v>
      </c>
      <c r="F2726" s="10"/>
      <c r="G2726" s="11" t="s">
        <v>11877</v>
      </c>
      <c r="H2726" s="12">
        <v>48</v>
      </c>
      <c r="I2726" s="13" t="s">
        <v>371</v>
      </c>
      <c r="J2726" s="13"/>
      <c r="K2726" s="13"/>
      <c r="L2726" s="4">
        <v>8</v>
      </c>
      <c r="M2726" s="14">
        <f>87*(1-P3/100)</f>
        <v>87</v>
      </c>
      <c r="N2726" s="15"/>
      <c r="O2726" s="13">
        <f t="shared" si="115"/>
        <v>0</v>
      </c>
      <c r="P2726" s="22">
        <f>0.052*N2726</f>
        <v>0</v>
      </c>
      <c r="Q2726" s="23">
        <f>0.00015*N2726</f>
        <v>0</v>
      </c>
      <c r="R2726" s="24"/>
      <c r="S2726" s="25" t="s">
        <v>12116</v>
      </c>
      <c r="T2726" s="25" t="s">
        <v>43</v>
      </c>
      <c r="U2726" s="5"/>
      <c r="V2726" s="5"/>
      <c r="W2726" s="5" t="s">
        <v>46</v>
      </c>
      <c r="X2726" s="5"/>
      <c r="Y2726" s="5"/>
      <c r="Z2726" s="5" t="str">
        <f>HYPERLINK("https://knigipp.ru/api/getInfo/image/084d9f6a-c02c-11e9-a232-ac1f6b442184")</f>
        <v>https://knigipp.ru/api/getInfo/image/084d9f6a-c02c-11e9-a232-ac1f6b442184</v>
      </c>
      <c r="AA2726" s="33">
        <v>10</v>
      </c>
      <c r="AB2726" s="5"/>
      <c r="AC2726" s="5" t="s">
        <v>140</v>
      </c>
      <c r="AD2726" s="5"/>
      <c r="AE2726" s="5" t="s">
        <v>49</v>
      </c>
      <c r="AF2726" s="5"/>
      <c r="AG2726" s="5" t="s">
        <v>11342</v>
      </c>
      <c r="AH2726" s="5" t="s">
        <v>11879</v>
      </c>
    </row>
    <row r="2727" spans="2:35" ht="21" customHeight="1" outlineLevel="4" x14ac:dyDescent="0.2">
      <c r="B2727" s="42">
        <v>2201</v>
      </c>
      <c r="C2727" s="5" t="s">
        <v>12117</v>
      </c>
      <c r="D2727" s="5" t="s">
        <v>12118</v>
      </c>
      <c r="E2727" s="6" t="s">
        <v>12119</v>
      </c>
      <c r="F2727" s="10"/>
      <c r="G2727" s="11" t="s">
        <v>11883</v>
      </c>
      <c r="H2727" s="12">
        <v>48</v>
      </c>
      <c r="I2727" s="13" t="s">
        <v>371</v>
      </c>
      <c r="J2727" s="13"/>
      <c r="K2727" s="13"/>
      <c r="L2727" s="4">
        <v>8</v>
      </c>
      <c r="M2727" s="14">
        <f>87*(1-P3/100)</f>
        <v>87</v>
      </c>
      <c r="N2727" s="15"/>
      <c r="O2727" s="13">
        <f t="shared" si="115"/>
        <v>0</v>
      </c>
      <c r="P2727" s="32">
        <f>0.05*N2727</f>
        <v>0</v>
      </c>
      <c r="Q2727" s="23">
        <f>0.00014*N2727</f>
        <v>0</v>
      </c>
      <c r="R2727" s="24"/>
      <c r="S2727" s="25" t="s">
        <v>12120</v>
      </c>
      <c r="T2727" s="25" t="s">
        <v>43</v>
      </c>
      <c r="U2727" s="5" t="s">
        <v>4057</v>
      </c>
      <c r="V2727" s="5"/>
      <c r="W2727" s="5" t="s">
        <v>46</v>
      </c>
      <c r="X2727" s="5" t="s">
        <v>11008</v>
      </c>
      <c r="Y2727" s="5"/>
      <c r="Z2727" s="5" t="str">
        <f>HYPERLINK("https://knigipp.ru/api/getInfo/image/90dec00b-c686-11e1-81d3-5ef3fc502493")</f>
        <v>https://knigipp.ru/api/getInfo/image/90dec00b-c686-11e1-81d3-5ef3fc502493</v>
      </c>
      <c r="AA2727" s="33">
        <v>10</v>
      </c>
      <c r="AB2727" s="5"/>
      <c r="AC2727" s="5" t="s">
        <v>140</v>
      </c>
      <c r="AD2727" s="5"/>
      <c r="AE2727" s="5" t="s">
        <v>49</v>
      </c>
      <c r="AF2727" s="5"/>
      <c r="AG2727" s="5" t="s">
        <v>11342</v>
      </c>
      <c r="AH2727" s="5" t="s">
        <v>11879</v>
      </c>
    </row>
    <row r="2728" spans="2:35" ht="21" customHeight="1" outlineLevel="4" x14ac:dyDescent="0.2">
      <c r="B2728" s="42">
        <v>2202</v>
      </c>
      <c r="C2728" s="5" t="s">
        <v>12121</v>
      </c>
      <c r="D2728" s="5" t="s">
        <v>12122</v>
      </c>
      <c r="E2728" s="6" t="s">
        <v>12123</v>
      </c>
      <c r="F2728" s="10"/>
      <c r="G2728" s="11" t="s">
        <v>11883</v>
      </c>
      <c r="H2728" s="12">
        <v>48</v>
      </c>
      <c r="I2728" s="13" t="s">
        <v>371</v>
      </c>
      <c r="J2728" s="13"/>
      <c r="K2728" s="13"/>
      <c r="L2728" s="4">
        <v>8</v>
      </c>
      <c r="M2728" s="14">
        <f>87*(1-P3/100)</f>
        <v>87</v>
      </c>
      <c r="N2728" s="15"/>
      <c r="O2728" s="13">
        <f t="shared" si="115"/>
        <v>0</v>
      </c>
      <c r="P2728" s="22">
        <f>0.054*N2728</f>
        <v>0</v>
      </c>
      <c r="Q2728" s="23">
        <f>0.00014*N2728</f>
        <v>0</v>
      </c>
      <c r="R2728" s="24"/>
      <c r="S2728" s="25" t="s">
        <v>12124</v>
      </c>
      <c r="T2728" s="25" t="s">
        <v>43</v>
      </c>
      <c r="U2728" s="5" t="s">
        <v>4057</v>
      </c>
      <c r="V2728" s="5"/>
      <c r="W2728" s="5" t="s">
        <v>46</v>
      </c>
      <c r="X2728" s="5" t="s">
        <v>10020</v>
      </c>
      <c r="Y2728" s="5"/>
      <c r="Z2728" s="5" t="str">
        <f>HYPERLINK("https://knigipp.ru/api/getInfo/image/90dec00e-c686-11e1-81d3-5ef3fc502493")</f>
        <v>https://knigipp.ru/api/getInfo/image/90dec00e-c686-11e1-81d3-5ef3fc502493</v>
      </c>
      <c r="AA2728" s="33">
        <v>10</v>
      </c>
      <c r="AB2728" s="5"/>
      <c r="AC2728" s="5" t="s">
        <v>140</v>
      </c>
      <c r="AD2728" s="5"/>
      <c r="AE2728" s="5" t="s">
        <v>49</v>
      </c>
      <c r="AF2728" s="5"/>
      <c r="AG2728" s="5" t="s">
        <v>11342</v>
      </c>
      <c r="AH2728" s="5" t="s">
        <v>11879</v>
      </c>
    </row>
    <row r="2729" spans="2:35" ht="21" customHeight="1" outlineLevel="4" x14ac:dyDescent="0.2">
      <c r="B2729" s="42">
        <v>2203</v>
      </c>
      <c r="C2729" s="5" t="s">
        <v>12125</v>
      </c>
      <c r="D2729" s="5" t="s">
        <v>12126</v>
      </c>
      <c r="E2729" s="6" t="s">
        <v>12127</v>
      </c>
      <c r="F2729" s="10"/>
      <c r="G2729" s="11" t="s">
        <v>11883</v>
      </c>
      <c r="H2729" s="12">
        <v>48</v>
      </c>
      <c r="I2729" s="13" t="s">
        <v>371</v>
      </c>
      <c r="J2729" s="13"/>
      <c r="K2729" s="13"/>
      <c r="L2729" s="4">
        <v>8</v>
      </c>
      <c r="M2729" s="14">
        <f>87*(1-P3/100)</f>
        <v>87</v>
      </c>
      <c r="N2729" s="15"/>
      <c r="O2729" s="13">
        <f t="shared" si="115"/>
        <v>0</v>
      </c>
      <c r="P2729" s="22">
        <f>0.052*N2729</f>
        <v>0</v>
      </c>
      <c r="Q2729" s="23">
        <f>0.00015*N2729</f>
        <v>0</v>
      </c>
      <c r="R2729" s="24"/>
      <c r="S2729" s="25" t="s">
        <v>12128</v>
      </c>
      <c r="T2729" s="25" t="s">
        <v>43</v>
      </c>
      <c r="U2729" s="5" t="s">
        <v>4057</v>
      </c>
      <c r="V2729" s="5"/>
      <c r="W2729" s="5" t="s">
        <v>46</v>
      </c>
      <c r="X2729" s="5" t="s">
        <v>11008</v>
      </c>
      <c r="Y2729" s="5"/>
      <c r="Z2729" s="5" t="str">
        <f>HYPERLINK("https://knigipp.ru/api/getInfo/image/90dec020-c686-11e1-81d3-5ef3fc502493")</f>
        <v>https://knigipp.ru/api/getInfo/image/90dec020-c686-11e1-81d3-5ef3fc502493</v>
      </c>
      <c r="AA2729" s="33">
        <v>10</v>
      </c>
      <c r="AB2729" s="5"/>
      <c r="AC2729" s="5" t="s">
        <v>140</v>
      </c>
      <c r="AD2729" s="5"/>
      <c r="AE2729" s="5" t="s">
        <v>49</v>
      </c>
      <c r="AF2729" s="5"/>
      <c r="AG2729" s="5" t="s">
        <v>11342</v>
      </c>
      <c r="AH2729" s="5" t="s">
        <v>11879</v>
      </c>
    </row>
    <row r="2730" spans="2:35" ht="21" customHeight="1" outlineLevel="4" x14ac:dyDescent="0.2">
      <c r="B2730" s="42">
        <v>2204</v>
      </c>
      <c r="C2730" s="5" t="s">
        <v>12129</v>
      </c>
      <c r="D2730" s="5" t="s">
        <v>12130</v>
      </c>
      <c r="E2730" s="6" t="s">
        <v>12131</v>
      </c>
      <c r="F2730" s="10"/>
      <c r="G2730" s="11" t="s">
        <v>11889</v>
      </c>
      <c r="H2730" s="12">
        <v>48</v>
      </c>
      <c r="I2730" s="13" t="s">
        <v>41</v>
      </c>
      <c r="J2730" s="13"/>
      <c r="K2730" s="13"/>
      <c r="L2730" s="4">
        <v>8</v>
      </c>
      <c r="M2730" s="14">
        <f>87*(1-P3/100)</f>
        <v>87</v>
      </c>
      <c r="N2730" s="15"/>
      <c r="O2730" s="13">
        <f t="shared" ref="O2730:O2737" si="116">M2730*N2730</f>
        <v>0</v>
      </c>
      <c r="P2730" s="22">
        <f>0.054*N2730</f>
        <v>0</v>
      </c>
      <c r="Q2730" s="23">
        <f>0.00012*N2730</f>
        <v>0</v>
      </c>
      <c r="R2730" s="24"/>
      <c r="S2730" s="25" t="s">
        <v>12132</v>
      </c>
      <c r="T2730" s="25" t="s">
        <v>43</v>
      </c>
      <c r="U2730" s="5"/>
      <c r="V2730" s="5"/>
      <c r="W2730" s="5" t="s">
        <v>46</v>
      </c>
      <c r="X2730" s="5"/>
      <c r="Y2730" s="5"/>
      <c r="Z2730" s="5" t="str">
        <f>HYPERLINK("https://knigipp.ru/api/getInfo/image/0ad6e782-db8f-11ee-a25a-00155d82e908")</f>
        <v>https://knigipp.ru/api/getInfo/image/0ad6e782-db8f-11ee-a25a-00155d82e908</v>
      </c>
      <c r="AA2730" s="33">
        <v>10</v>
      </c>
      <c r="AB2730" s="5" t="s">
        <v>47</v>
      </c>
      <c r="AC2730" s="5" t="s">
        <v>140</v>
      </c>
      <c r="AD2730" s="5"/>
      <c r="AE2730" s="5" t="s">
        <v>49</v>
      </c>
      <c r="AF2730" s="5"/>
      <c r="AG2730" s="5" t="s">
        <v>11342</v>
      </c>
      <c r="AH2730" s="5" t="s">
        <v>11879</v>
      </c>
    </row>
    <row r="2731" spans="2:35" ht="21" customHeight="1" outlineLevel="4" x14ac:dyDescent="0.2">
      <c r="B2731" s="43">
        <v>2205</v>
      </c>
      <c r="C2731" s="8" t="s">
        <v>12133</v>
      </c>
      <c r="D2731" s="8" t="s">
        <v>12134</v>
      </c>
      <c r="E2731" s="9" t="s">
        <v>12135</v>
      </c>
      <c r="F2731" s="16"/>
      <c r="G2731" s="17" t="s">
        <v>11983</v>
      </c>
      <c r="H2731" s="18">
        <v>48</v>
      </c>
      <c r="I2731" s="19" t="s">
        <v>371</v>
      </c>
      <c r="J2731" s="19"/>
      <c r="K2731" s="19"/>
      <c r="L2731" s="7">
        <v>8</v>
      </c>
      <c r="M2731" s="21">
        <f>87*(1-P3/100)</f>
        <v>87</v>
      </c>
      <c r="N2731" s="15"/>
      <c r="O2731" s="19">
        <f t="shared" si="116"/>
        <v>0</v>
      </c>
      <c r="P2731" s="26">
        <f>0.059*N2731</f>
        <v>0</v>
      </c>
      <c r="Q2731" s="27">
        <f>0.00009*N2731</f>
        <v>0</v>
      </c>
      <c r="R2731" s="28" t="s">
        <v>81</v>
      </c>
      <c r="S2731" s="29" t="s">
        <v>12136</v>
      </c>
      <c r="T2731" s="29" t="s">
        <v>43</v>
      </c>
      <c r="U2731" s="8"/>
      <c r="V2731" s="8" t="s">
        <v>12137</v>
      </c>
      <c r="W2731" s="8" t="s">
        <v>46</v>
      </c>
      <c r="X2731" s="8"/>
      <c r="Y2731" s="8"/>
      <c r="Z2731" s="8" t="str">
        <f>HYPERLINK("https://knigipp.ru/api/getInfo/image/a743f633-bbde-11f0-a288-00155d82e908")</f>
        <v>https://knigipp.ru/api/getInfo/image/a743f633-bbde-11f0-a288-00155d82e908</v>
      </c>
      <c r="AA2731" s="34">
        <v>10</v>
      </c>
      <c r="AB2731" s="8" t="s">
        <v>47</v>
      </c>
      <c r="AC2731" s="8" t="s">
        <v>140</v>
      </c>
      <c r="AD2731" s="8"/>
      <c r="AE2731" s="8" t="s">
        <v>49</v>
      </c>
      <c r="AF2731" s="8"/>
      <c r="AG2731" s="8" t="s">
        <v>11342</v>
      </c>
      <c r="AH2731" s="8" t="s">
        <v>11879</v>
      </c>
      <c r="AI2731" s="55"/>
    </row>
    <row r="2732" spans="2:35" ht="21" customHeight="1" outlineLevel="4" x14ac:dyDescent="0.2">
      <c r="B2732" s="42">
        <v>2206</v>
      </c>
      <c r="C2732" s="5" t="s">
        <v>12138</v>
      </c>
      <c r="D2732" s="5" t="s">
        <v>12139</v>
      </c>
      <c r="E2732" s="6" t="s">
        <v>12140</v>
      </c>
      <c r="F2732" s="10"/>
      <c r="G2732" s="11" t="s">
        <v>11924</v>
      </c>
      <c r="H2732" s="12">
        <v>48</v>
      </c>
      <c r="I2732" s="13" t="s">
        <v>41</v>
      </c>
      <c r="J2732" s="13"/>
      <c r="K2732" s="13"/>
      <c r="L2732" s="4">
        <v>8</v>
      </c>
      <c r="M2732" s="14">
        <f>87*(1-P3/100)</f>
        <v>87</v>
      </c>
      <c r="N2732" s="15"/>
      <c r="O2732" s="13">
        <f t="shared" si="116"/>
        <v>0</v>
      </c>
      <c r="P2732" s="22">
        <f>0.066*N2732</f>
        <v>0</v>
      </c>
      <c r="Q2732" s="30">
        <f>0.0001*N2732</f>
        <v>0</v>
      </c>
      <c r="R2732" s="24"/>
      <c r="S2732" s="25" t="s">
        <v>12141</v>
      </c>
      <c r="T2732" s="25" t="s">
        <v>43</v>
      </c>
      <c r="U2732" s="5" t="s">
        <v>157</v>
      </c>
      <c r="V2732" s="5"/>
      <c r="W2732" s="5" t="s">
        <v>46</v>
      </c>
      <c r="X2732" s="5"/>
      <c r="Y2732" s="5"/>
      <c r="Z2732" s="5" t="str">
        <f>HYPERLINK("https://knigipp.ru/api/getInfo/image/5728c20a-99b1-11e9-a227-ac1f6b442184")</f>
        <v>https://knigipp.ru/api/getInfo/image/5728c20a-99b1-11e9-a227-ac1f6b442184</v>
      </c>
      <c r="AA2732" s="33">
        <v>10</v>
      </c>
      <c r="AB2732" s="5"/>
      <c r="AC2732" s="5" t="s">
        <v>140</v>
      </c>
      <c r="AD2732" s="5"/>
      <c r="AE2732" s="5" t="s">
        <v>49</v>
      </c>
      <c r="AF2732" s="5"/>
      <c r="AG2732" s="5" t="s">
        <v>11342</v>
      </c>
      <c r="AH2732" s="5" t="s">
        <v>11879</v>
      </c>
    </row>
    <row r="2733" spans="2:35" ht="21" customHeight="1" outlineLevel="4" x14ac:dyDescent="0.2">
      <c r="B2733" s="42">
        <v>2207</v>
      </c>
      <c r="C2733" s="5" t="s">
        <v>12142</v>
      </c>
      <c r="D2733" s="5" t="s">
        <v>12143</v>
      </c>
      <c r="E2733" s="6" t="s">
        <v>12144</v>
      </c>
      <c r="F2733" s="10"/>
      <c r="G2733" s="11" t="s">
        <v>11877</v>
      </c>
      <c r="H2733" s="12">
        <v>48</v>
      </c>
      <c r="I2733" s="13" t="s">
        <v>261</v>
      </c>
      <c r="J2733" s="13"/>
      <c r="K2733" s="13"/>
      <c r="L2733" s="4">
        <v>8</v>
      </c>
      <c r="M2733" s="14">
        <f>87*(1-P3/100)</f>
        <v>87</v>
      </c>
      <c r="N2733" s="15"/>
      <c r="O2733" s="13">
        <f t="shared" si="116"/>
        <v>0</v>
      </c>
      <c r="P2733" s="22">
        <f>0.052*N2733</f>
        <v>0</v>
      </c>
      <c r="Q2733" s="23">
        <f>0.00015*N2733</f>
        <v>0</v>
      </c>
      <c r="R2733" s="24"/>
      <c r="S2733" s="25" t="s">
        <v>12145</v>
      </c>
      <c r="T2733" s="25" t="s">
        <v>43</v>
      </c>
      <c r="U2733" s="5"/>
      <c r="V2733" s="5"/>
      <c r="W2733" s="5" t="s">
        <v>46</v>
      </c>
      <c r="X2733" s="5"/>
      <c r="Y2733" s="5"/>
      <c r="Z2733" s="5" t="str">
        <f>HYPERLINK("https://knigipp.ru/api/getInfo/image/028ac85a-f573-11e9-a235-ac1f6b442184")</f>
        <v>https://knigipp.ru/api/getInfo/image/028ac85a-f573-11e9-a235-ac1f6b442184</v>
      </c>
      <c r="AA2733" s="33">
        <v>10</v>
      </c>
      <c r="AB2733" s="5"/>
      <c r="AC2733" s="5" t="s">
        <v>140</v>
      </c>
      <c r="AD2733" s="5"/>
      <c r="AE2733" s="5" t="s">
        <v>49</v>
      </c>
      <c r="AF2733" s="5"/>
      <c r="AG2733" s="5" t="s">
        <v>11342</v>
      </c>
      <c r="AH2733" s="5" t="s">
        <v>11879</v>
      </c>
    </row>
    <row r="2734" spans="2:35" ht="21" customHeight="1" outlineLevel="4" x14ac:dyDescent="0.2">
      <c r="B2734" s="42">
        <v>2208</v>
      </c>
      <c r="C2734" s="5" t="s">
        <v>12146</v>
      </c>
      <c r="D2734" s="5" t="s">
        <v>12147</v>
      </c>
      <c r="E2734" s="6" t="s">
        <v>12148</v>
      </c>
      <c r="F2734" s="10"/>
      <c r="G2734" s="11" t="s">
        <v>12149</v>
      </c>
      <c r="H2734" s="12">
        <v>48</v>
      </c>
      <c r="I2734" s="13" t="s">
        <v>261</v>
      </c>
      <c r="J2734" s="13"/>
      <c r="K2734" s="13"/>
      <c r="L2734" s="4">
        <v>8</v>
      </c>
      <c r="M2734" s="14">
        <f>87*(1-P3/100)</f>
        <v>87</v>
      </c>
      <c r="N2734" s="15"/>
      <c r="O2734" s="13">
        <f t="shared" si="116"/>
        <v>0</v>
      </c>
      <c r="P2734" s="22">
        <f>0.052*N2734</f>
        <v>0</v>
      </c>
      <c r="Q2734" s="23">
        <f>0.00015*N2734</f>
        <v>0</v>
      </c>
      <c r="R2734" s="24"/>
      <c r="S2734" s="25" t="s">
        <v>12150</v>
      </c>
      <c r="T2734" s="25" t="s">
        <v>43</v>
      </c>
      <c r="U2734" s="5" t="s">
        <v>128</v>
      </c>
      <c r="V2734" s="5" t="s">
        <v>12151</v>
      </c>
      <c r="W2734" s="5" t="s">
        <v>46</v>
      </c>
      <c r="X2734" s="5"/>
      <c r="Y2734" s="5"/>
      <c r="Z2734" s="5" t="str">
        <f>HYPERLINK("https://knigipp.ru/api/getInfo/image/98d9d9ed-25c1-11f0-a279-00155d82e908")</f>
        <v>https://knigipp.ru/api/getInfo/image/98d9d9ed-25c1-11f0-a279-00155d82e908</v>
      </c>
      <c r="AA2734" s="33">
        <v>10</v>
      </c>
      <c r="AB2734" s="5" t="s">
        <v>47</v>
      </c>
      <c r="AC2734" s="5" t="s">
        <v>140</v>
      </c>
      <c r="AD2734" s="5"/>
      <c r="AE2734" s="5" t="s">
        <v>49</v>
      </c>
      <c r="AF2734" s="5"/>
      <c r="AG2734" s="5"/>
      <c r="AH2734" s="5" t="s">
        <v>11840</v>
      </c>
    </row>
    <row r="2735" spans="2:35" ht="21" customHeight="1" outlineLevel="4" x14ac:dyDescent="0.2">
      <c r="B2735" s="43">
        <v>2209</v>
      </c>
      <c r="C2735" s="8" t="s">
        <v>12152</v>
      </c>
      <c r="D2735" s="8" t="s">
        <v>12153</v>
      </c>
      <c r="E2735" s="9" t="s">
        <v>12154</v>
      </c>
      <c r="F2735" s="16"/>
      <c r="G2735" s="17" t="s">
        <v>12001</v>
      </c>
      <c r="H2735" s="18">
        <v>48</v>
      </c>
      <c r="I2735" s="19" t="s">
        <v>41</v>
      </c>
      <c r="J2735" s="19"/>
      <c r="K2735" s="19"/>
      <c r="L2735" s="7">
        <v>8</v>
      </c>
      <c r="M2735" s="21">
        <f>87*(1-P3/100)</f>
        <v>87</v>
      </c>
      <c r="N2735" s="15"/>
      <c r="O2735" s="19">
        <f t="shared" si="116"/>
        <v>0</v>
      </c>
      <c r="P2735" s="26">
        <f>0.049*N2735</f>
        <v>0</v>
      </c>
      <c r="Q2735" s="27">
        <f>0.00036*N2735</f>
        <v>0</v>
      </c>
      <c r="R2735" s="28" t="s">
        <v>81</v>
      </c>
      <c r="S2735" s="29" t="s">
        <v>12155</v>
      </c>
      <c r="T2735" s="29" t="s">
        <v>43</v>
      </c>
      <c r="U2735" s="8" t="s">
        <v>10268</v>
      </c>
      <c r="V2735" s="8" t="s">
        <v>12156</v>
      </c>
      <c r="W2735" s="8" t="s">
        <v>46</v>
      </c>
      <c r="X2735" s="8"/>
      <c r="Y2735" s="8"/>
      <c r="Z2735" s="8" t="str">
        <f>HYPERLINK("https://knigipp.ru/api/getInfo/image/e4b8076f-e578-11f0-a28c-00155d82e908")</f>
        <v>https://knigipp.ru/api/getInfo/image/e4b8076f-e578-11f0-a28c-00155d82e908</v>
      </c>
      <c r="AA2735" s="34">
        <v>10</v>
      </c>
      <c r="AB2735" s="8" t="s">
        <v>47</v>
      </c>
      <c r="AC2735" s="8" t="s">
        <v>140</v>
      </c>
      <c r="AD2735" s="8"/>
      <c r="AE2735" s="8" t="s">
        <v>49</v>
      </c>
      <c r="AF2735" s="8"/>
      <c r="AG2735" s="8"/>
      <c r="AH2735" s="8" t="s">
        <v>11840</v>
      </c>
      <c r="AI2735" s="55"/>
    </row>
    <row r="2736" spans="2:35" ht="21" customHeight="1" outlineLevel="4" x14ac:dyDescent="0.2">
      <c r="B2736" s="42">
        <v>2210</v>
      </c>
      <c r="C2736" s="5" t="s">
        <v>12157</v>
      </c>
      <c r="D2736" s="5" t="s">
        <v>12158</v>
      </c>
      <c r="E2736" s="6" t="s">
        <v>12159</v>
      </c>
      <c r="F2736" s="10"/>
      <c r="G2736" s="11" t="s">
        <v>12160</v>
      </c>
      <c r="H2736" s="12">
        <v>48</v>
      </c>
      <c r="I2736" s="13" t="s">
        <v>371</v>
      </c>
      <c r="J2736" s="13"/>
      <c r="K2736" s="13"/>
      <c r="L2736" s="4">
        <v>8</v>
      </c>
      <c r="M2736" s="14">
        <f>87*(1-P3/100)</f>
        <v>87</v>
      </c>
      <c r="N2736" s="15"/>
      <c r="O2736" s="13">
        <f t="shared" si="116"/>
        <v>0</v>
      </c>
      <c r="P2736" s="22">
        <f>0.052*N2736</f>
        <v>0</v>
      </c>
      <c r="Q2736" s="23">
        <f>0.00015*N2736</f>
        <v>0</v>
      </c>
      <c r="R2736" s="24"/>
      <c r="S2736" s="25" t="s">
        <v>12161</v>
      </c>
      <c r="T2736" s="25" t="s">
        <v>43</v>
      </c>
      <c r="U2736" s="5" t="s">
        <v>128</v>
      </c>
      <c r="V2736" s="5" t="s">
        <v>12162</v>
      </c>
      <c r="W2736" s="5" t="s">
        <v>46</v>
      </c>
      <c r="X2736" s="5"/>
      <c r="Y2736" s="5"/>
      <c r="Z2736" s="5" t="str">
        <f>HYPERLINK("https://knigipp.ru/api/getInfo/image/b84fa51f-25c1-11f0-a279-00155d82e908")</f>
        <v>https://knigipp.ru/api/getInfo/image/b84fa51f-25c1-11f0-a279-00155d82e908</v>
      </c>
      <c r="AA2736" s="33">
        <v>10</v>
      </c>
      <c r="AB2736" s="5" t="s">
        <v>47</v>
      </c>
      <c r="AC2736" s="5" t="s">
        <v>140</v>
      </c>
      <c r="AD2736" s="5"/>
      <c r="AE2736" s="5" t="s">
        <v>49</v>
      </c>
      <c r="AF2736" s="5"/>
      <c r="AG2736" s="5"/>
      <c r="AH2736" s="5" t="s">
        <v>11840</v>
      </c>
    </row>
    <row r="2737" spans="2:35" ht="21" customHeight="1" outlineLevel="4" x14ac:dyDescent="0.2">
      <c r="B2737" s="43">
        <v>2211</v>
      </c>
      <c r="C2737" s="8" t="s">
        <v>12163</v>
      </c>
      <c r="D2737" s="8" t="s">
        <v>12164</v>
      </c>
      <c r="E2737" s="9" t="s">
        <v>12165</v>
      </c>
      <c r="F2737" s="16"/>
      <c r="G2737" s="17" t="s">
        <v>11837</v>
      </c>
      <c r="H2737" s="18">
        <v>48</v>
      </c>
      <c r="I2737" s="19" t="s">
        <v>41</v>
      </c>
      <c r="J2737" s="19"/>
      <c r="K2737" s="19"/>
      <c r="L2737" s="7">
        <v>8</v>
      </c>
      <c r="M2737" s="21">
        <f>87*(1-P3/100)</f>
        <v>87</v>
      </c>
      <c r="N2737" s="15"/>
      <c r="O2737" s="19">
        <f t="shared" si="116"/>
        <v>0</v>
      </c>
      <c r="P2737" s="26">
        <f>0.048*N2737</f>
        <v>0</v>
      </c>
      <c r="Q2737" s="27">
        <f>0.00009*N2737</f>
        <v>0</v>
      </c>
      <c r="R2737" s="28" t="s">
        <v>81</v>
      </c>
      <c r="S2737" s="29" t="s">
        <v>12166</v>
      </c>
      <c r="T2737" s="29" t="s">
        <v>43</v>
      </c>
      <c r="U2737" s="8"/>
      <c r="V2737" s="8" t="s">
        <v>12167</v>
      </c>
      <c r="W2737" s="8" t="s">
        <v>46</v>
      </c>
      <c r="X2737" s="8"/>
      <c r="Y2737" s="8"/>
      <c r="Z2737" s="8" t="str">
        <f>HYPERLINK("https://knigipp.ru/api/getInfo/image/023057ee-d999-11f0-a28c-00155d82e908")</f>
        <v>https://knigipp.ru/api/getInfo/image/023057ee-d999-11f0-a28c-00155d82e908</v>
      </c>
      <c r="AA2737" s="34">
        <v>8</v>
      </c>
      <c r="AB2737" s="8"/>
      <c r="AC2737" s="8" t="s">
        <v>140</v>
      </c>
      <c r="AD2737" s="8"/>
      <c r="AE2737" s="8" t="s">
        <v>49</v>
      </c>
      <c r="AF2737" s="8"/>
      <c r="AG2737" s="8"/>
      <c r="AH2737" s="8" t="s">
        <v>11840</v>
      </c>
      <c r="AI2737" s="55"/>
    </row>
    <row r="2738" spans="2:35" ht="22.95" customHeight="1" outlineLevel="3" x14ac:dyDescent="0.2">
      <c r="B2738" s="74" t="s">
        <v>12168</v>
      </c>
      <c r="C2738" s="74"/>
      <c r="D2738" s="74"/>
    </row>
    <row r="2739" spans="2:35" ht="21" customHeight="1" outlineLevel="4" x14ac:dyDescent="0.2">
      <c r="B2739" s="42">
        <v>2212</v>
      </c>
      <c r="C2739" s="5" t="s">
        <v>12169</v>
      </c>
      <c r="D2739" s="5" t="s">
        <v>12170</v>
      </c>
      <c r="E2739" s="6" t="s">
        <v>12171</v>
      </c>
      <c r="F2739" s="10"/>
      <c r="G2739" s="11" t="s">
        <v>12172</v>
      </c>
      <c r="H2739" s="12">
        <v>10</v>
      </c>
      <c r="I2739" s="13" t="s">
        <v>41</v>
      </c>
      <c r="J2739" s="13"/>
      <c r="K2739" s="13"/>
      <c r="L2739" s="4">
        <v>2</v>
      </c>
      <c r="M2739" s="14">
        <f>377*(1-P3/100)</f>
        <v>377</v>
      </c>
      <c r="N2739" s="15"/>
      <c r="O2739" s="13">
        <f>M2739*N2739</f>
        <v>0</v>
      </c>
      <c r="P2739" s="22">
        <f>0.127*N2739</f>
        <v>0</v>
      </c>
      <c r="Q2739" s="23">
        <f>0.00052*N2739</f>
        <v>0</v>
      </c>
      <c r="R2739" s="24"/>
      <c r="S2739" s="25" t="s">
        <v>12173</v>
      </c>
      <c r="T2739" s="25" t="s">
        <v>43</v>
      </c>
      <c r="U2739" s="5"/>
      <c r="V2739" s="5" t="s">
        <v>12174</v>
      </c>
      <c r="W2739" s="5" t="s">
        <v>46</v>
      </c>
      <c r="X2739" s="5"/>
      <c r="Y2739" s="5"/>
      <c r="Z2739" s="5" t="str">
        <f>HYPERLINK("https://knigipp.ru/api/getInfo/image/2b35cecf-ae50-11ef-a267-00155d82e908")</f>
        <v>https://knigipp.ru/api/getInfo/image/2b35cecf-ae50-11ef-a267-00155d82e908</v>
      </c>
      <c r="AA2739" s="33">
        <v>10</v>
      </c>
      <c r="AB2739" s="5" t="s">
        <v>47</v>
      </c>
      <c r="AC2739" s="5" t="s">
        <v>140</v>
      </c>
      <c r="AD2739" s="5"/>
      <c r="AE2739" s="5" t="s">
        <v>49</v>
      </c>
      <c r="AF2739" s="5"/>
      <c r="AG2739" s="5"/>
      <c r="AH2739" s="5" t="s">
        <v>2624</v>
      </c>
    </row>
    <row r="2740" spans="2:35" ht="21" customHeight="1" outlineLevel="4" x14ac:dyDescent="0.2">
      <c r="B2740" s="42">
        <v>2213</v>
      </c>
      <c r="C2740" s="5" t="s">
        <v>12175</v>
      </c>
      <c r="D2740" s="5" t="s">
        <v>12176</v>
      </c>
      <c r="E2740" s="6" t="s">
        <v>12177</v>
      </c>
      <c r="F2740" s="10"/>
      <c r="G2740" s="11" t="s">
        <v>12172</v>
      </c>
      <c r="H2740" s="12">
        <v>10</v>
      </c>
      <c r="I2740" s="13" t="s">
        <v>41</v>
      </c>
      <c r="J2740" s="13"/>
      <c r="K2740" s="13"/>
      <c r="L2740" s="4">
        <v>2</v>
      </c>
      <c r="M2740" s="14">
        <f>377*(1-P3/100)</f>
        <v>377</v>
      </c>
      <c r="N2740" s="15"/>
      <c r="O2740" s="13">
        <f>M2740*N2740</f>
        <v>0</v>
      </c>
      <c r="P2740" s="22">
        <f>0.126*N2740</f>
        <v>0</v>
      </c>
      <c r="Q2740" s="23">
        <f>0.00022*N2740</f>
        <v>0</v>
      </c>
      <c r="R2740" s="24"/>
      <c r="S2740" s="25" t="s">
        <v>12178</v>
      </c>
      <c r="T2740" s="25" t="s">
        <v>43</v>
      </c>
      <c r="U2740" s="5"/>
      <c r="V2740" s="5" t="s">
        <v>12179</v>
      </c>
      <c r="W2740" s="5" t="s">
        <v>46</v>
      </c>
      <c r="X2740" s="5"/>
      <c r="Y2740" s="5"/>
      <c r="Z2740" s="5" t="str">
        <f>HYPERLINK("https://knigipp.ru/api/getInfo/image/f3e73d3f-ae4f-11ef-a267-00155d82e908")</f>
        <v>https://knigipp.ru/api/getInfo/image/f3e73d3f-ae4f-11ef-a267-00155d82e908</v>
      </c>
      <c r="AA2740" s="33">
        <v>10</v>
      </c>
      <c r="AB2740" s="5" t="s">
        <v>47</v>
      </c>
      <c r="AC2740" s="5" t="s">
        <v>140</v>
      </c>
      <c r="AD2740" s="5"/>
      <c r="AE2740" s="5" t="s">
        <v>49</v>
      </c>
      <c r="AF2740" s="5"/>
      <c r="AG2740" s="5"/>
      <c r="AH2740" s="5" t="s">
        <v>2624</v>
      </c>
    </row>
    <row r="2741" spans="2:35" ht="21" customHeight="1" outlineLevel="4" x14ac:dyDescent="0.2">
      <c r="B2741" s="42">
        <v>2214</v>
      </c>
      <c r="C2741" s="5" t="s">
        <v>12180</v>
      </c>
      <c r="D2741" s="5" t="s">
        <v>12181</v>
      </c>
      <c r="E2741" s="6" t="s">
        <v>12182</v>
      </c>
      <c r="F2741" s="10"/>
      <c r="G2741" s="11" t="s">
        <v>12172</v>
      </c>
      <c r="H2741" s="12">
        <v>10</v>
      </c>
      <c r="I2741" s="13" t="s">
        <v>371</v>
      </c>
      <c r="J2741" s="13"/>
      <c r="K2741" s="13"/>
      <c r="L2741" s="4">
        <v>2</v>
      </c>
      <c r="M2741" s="14">
        <f>377*(1-P3/100)</f>
        <v>377</v>
      </c>
      <c r="N2741" s="15"/>
      <c r="O2741" s="13">
        <f>M2741*N2741</f>
        <v>0</v>
      </c>
      <c r="P2741" s="22">
        <f>0.128*N2741</f>
        <v>0</v>
      </c>
      <c r="Q2741" s="30">
        <f>0.0007*N2741</f>
        <v>0</v>
      </c>
      <c r="R2741" s="24"/>
      <c r="S2741" s="25" t="s">
        <v>12183</v>
      </c>
      <c r="T2741" s="25" t="s">
        <v>43</v>
      </c>
      <c r="U2741" s="5"/>
      <c r="V2741" s="5" t="s">
        <v>12184</v>
      </c>
      <c r="W2741" s="5" t="s">
        <v>46</v>
      </c>
      <c r="X2741" s="5"/>
      <c r="Y2741" s="5"/>
      <c r="Z2741" s="5" t="str">
        <f>HYPERLINK("https://knigipp.ru/api/getInfo/image/8bc4fba1-ae50-11ef-a267-00155d82e908")</f>
        <v>https://knigipp.ru/api/getInfo/image/8bc4fba1-ae50-11ef-a267-00155d82e908</v>
      </c>
      <c r="AA2741" s="33">
        <v>10</v>
      </c>
      <c r="AB2741" s="5" t="s">
        <v>47</v>
      </c>
      <c r="AC2741" s="5" t="s">
        <v>140</v>
      </c>
      <c r="AD2741" s="5"/>
      <c r="AE2741" s="5" t="s">
        <v>49</v>
      </c>
      <c r="AF2741" s="5"/>
      <c r="AG2741" s="5"/>
      <c r="AH2741" s="5" t="s">
        <v>2624</v>
      </c>
    </row>
    <row r="2742" spans="2:35" ht="21" customHeight="1" outlineLevel="4" x14ac:dyDescent="0.2">
      <c r="B2742" s="42">
        <v>2215</v>
      </c>
      <c r="C2742" s="5" t="s">
        <v>12185</v>
      </c>
      <c r="D2742" s="5" t="s">
        <v>12186</v>
      </c>
      <c r="E2742" s="6" t="s">
        <v>12187</v>
      </c>
      <c r="F2742" s="10"/>
      <c r="G2742" s="11" t="s">
        <v>12172</v>
      </c>
      <c r="H2742" s="12">
        <v>10</v>
      </c>
      <c r="I2742" s="13" t="s">
        <v>41</v>
      </c>
      <c r="J2742" s="13"/>
      <c r="K2742" s="13"/>
      <c r="L2742" s="4">
        <v>2</v>
      </c>
      <c r="M2742" s="14">
        <f>377*(1-P3/100)</f>
        <v>377</v>
      </c>
      <c r="N2742" s="15"/>
      <c r="O2742" s="13">
        <f>M2742*N2742</f>
        <v>0</v>
      </c>
      <c r="P2742" s="22">
        <f>0.129*N2742</f>
        <v>0</v>
      </c>
      <c r="Q2742" s="23">
        <f>0.00058*N2742</f>
        <v>0</v>
      </c>
      <c r="R2742" s="24"/>
      <c r="S2742" s="25" t="s">
        <v>12188</v>
      </c>
      <c r="T2742" s="25" t="s">
        <v>43</v>
      </c>
      <c r="U2742" s="5"/>
      <c r="V2742" s="5" t="s">
        <v>12189</v>
      </c>
      <c r="W2742" s="5" t="s">
        <v>46</v>
      </c>
      <c r="X2742" s="5"/>
      <c r="Y2742" s="5"/>
      <c r="Z2742" s="5" t="str">
        <f>HYPERLINK("https://knigipp.ru/api/getInfo/image/601de9aa-ae50-11ef-a267-00155d82e908")</f>
        <v>https://knigipp.ru/api/getInfo/image/601de9aa-ae50-11ef-a267-00155d82e908</v>
      </c>
      <c r="AA2742" s="33">
        <v>10</v>
      </c>
      <c r="AB2742" s="5" t="s">
        <v>47</v>
      </c>
      <c r="AC2742" s="5" t="s">
        <v>140</v>
      </c>
      <c r="AD2742" s="5"/>
      <c r="AE2742" s="5" t="s">
        <v>49</v>
      </c>
      <c r="AF2742" s="5"/>
      <c r="AG2742" s="5"/>
      <c r="AH2742" s="5" t="s">
        <v>2624</v>
      </c>
    </row>
    <row r="2743" spans="2:35" ht="22.95" customHeight="1" outlineLevel="3" x14ac:dyDescent="0.2">
      <c r="B2743" s="74" t="s">
        <v>12190</v>
      </c>
      <c r="C2743" s="74"/>
      <c r="D2743" s="74"/>
    </row>
    <row r="2744" spans="2:35" ht="21" customHeight="1" outlineLevel="4" x14ac:dyDescent="0.2">
      <c r="B2744" s="42">
        <v>2216</v>
      </c>
      <c r="C2744" s="5" t="s">
        <v>12191</v>
      </c>
      <c r="D2744" s="5" t="s">
        <v>12192</v>
      </c>
      <c r="E2744" s="6" t="s">
        <v>12193</v>
      </c>
      <c r="F2744" s="10"/>
      <c r="G2744" s="11" t="s">
        <v>12194</v>
      </c>
      <c r="H2744" s="12">
        <v>40</v>
      </c>
      <c r="I2744" s="13" t="s">
        <v>41</v>
      </c>
      <c r="J2744" s="13"/>
      <c r="K2744" s="13"/>
      <c r="L2744" s="4">
        <v>5</v>
      </c>
      <c r="M2744" s="14">
        <f>117*(1-P3/100)</f>
        <v>117</v>
      </c>
      <c r="N2744" s="15"/>
      <c r="O2744" s="13">
        <f>M2744*N2744</f>
        <v>0</v>
      </c>
      <c r="P2744" s="22">
        <f>0.064*N2744</f>
        <v>0</v>
      </c>
      <c r="Q2744" s="23">
        <f>0.00018*N2744</f>
        <v>0</v>
      </c>
      <c r="R2744" s="24"/>
      <c r="S2744" s="25" t="s">
        <v>12195</v>
      </c>
      <c r="T2744" s="25" t="s">
        <v>43</v>
      </c>
      <c r="U2744" s="5" t="s">
        <v>7952</v>
      </c>
      <c r="V2744" s="5" t="s">
        <v>12196</v>
      </c>
      <c r="W2744" s="5" t="s">
        <v>46</v>
      </c>
      <c r="X2744" s="5" t="s">
        <v>12197</v>
      </c>
      <c r="Y2744" s="5"/>
      <c r="Z2744" s="5" t="str">
        <f>HYPERLINK("https://knigipp.ru/api/getInfo/image/26c77200-4f3d-11ef-a262-00155d82e908")</f>
        <v>https://knigipp.ru/api/getInfo/image/26c77200-4f3d-11ef-a262-00155d82e908</v>
      </c>
      <c r="AA2744" s="33">
        <v>10</v>
      </c>
      <c r="AB2744" s="5" t="s">
        <v>47</v>
      </c>
      <c r="AC2744" s="5" t="s">
        <v>140</v>
      </c>
      <c r="AD2744" s="5"/>
      <c r="AE2744" s="5" t="s">
        <v>49</v>
      </c>
      <c r="AF2744" s="5"/>
      <c r="AG2744" s="5"/>
      <c r="AH2744" s="5" t="s">
        <v>12198</v>
      </c>
    </row>
    <row r="2745" spans="2:35" ht="21" customHeight="1" outlineLevel="4" x14ac:dyDescent="0.2">
      <c r="B2745" s="42">
        <v>2217</v>
      </c>
      <c r="C2745" s="5" t="s">
        <v>12199</v>
      </c>
      <c r="D2745" s="5" t="s">
        <v>12200</v>
      </c>
      <c r="E2745" s="6" t="s">
        <v>12201</v>
      </c>
      <c r="F2745" s="10"/>
      <c r="G2745" s="11" t="s">
        <v>12194</v>
      </c>
      <c r="H2745" s="12">
        <v>40</v>
      </c>
      <c r="I2745" s="13" t="s">
        <v>41</v>
      </c>
      <c r="J2745" s="13"/>
      <c r="K2745" s="13"/>
      <c r="L2745" s="4">
        <v>5</v>
      </c>
      <c r="M2745" s="14">
        <f>117*(1-P3/100)</f>
        <v>117</v>
      </c>
      <c r="N2745" s="15"/>
      <c r="O2745" s="13">
        <f>M2745*N2745</f>
        <v>0</v>
      </c>
      <c r="P2745" s="22">
        <f>0.063*N2745</f>
        <v>0</v>
      </c>
      <c r="Q2745" s="30">
        <f>0.0002*N2745</f>
        <v>0</v>
      </c>
      <c r="R2745" s="24"/>
      <c r="S2745" s="25" t="s">
        <v>12202</v>
      </c>
      <c r="T2745" s="25" t="s">
        <v>43</v>
      </c>
      <c r="U2745" s="5" t="s">
        <v>7952</v>
      </c>
      <c r="V2745" s="5" t="s">
        <v>12203</v>
      </c>
      <c r="W2745" s="5" t="s">
        <v>46</v>
      </c>
      <c r="X2745" s="5" t="s">
        <v>12197</v>
      </c>
      <c r="Y2745" s="5"/>
      <c r="Z2745" s="5" t="str">
        <f>HYPERLINK("https://knigipp.ru/api/getInfo/image/5561fccc-4f3d-11ef-a262-00155d82e908")</f>
        <v>https://knigipp.ru/api/getInfo/image/5561fccc-4f3d-11ef-a262-00155d82e908</v>
      </c>
      <c r="AA2745" s="33">
        <v>10</v>
      </c>
      <c r="AB2745" s="5" t="s">
        <v>47</v>
      </c>
      <c r="AC2745" s="5" t="s">
        <v>140</v>
      </c>
      <c r="AD2745" s="5"/>
      <c r="AE2745" s="5" t="s">
        <v>49</v>
      </c>
      <c r="AF2745" s="5"/>
      <c r="AG2745" s="5"/>
      <c r="AH2745" s="5" t="s">
        <v>12198</v>
      </c>
    </row>
    <row r="2746" spans="2:35" ht="21" customHeight="1" outlineLevel="4" x14ac:dyDescent="0.2">
      <c r="B2746" s="42">
        <v>2218</v>
      </c>
      <c r="C2746" s="5" t="s">
        <v>12204</v>
      </c>
      <c r="D2746" s="5" t="s">
        <v>12205</v>
      </c>
      <c r="E2746" s="6" t="s">
        <v>12206</v>
      </c>
      <c r="F2746" s="10"/>
      <c r="G2746" s="11" t="s">
        <v>12194</v>
      </c>
      <c r="H2746" s="12">
        <v>40</v>
      </c>
      <c r="I2746" s="13" t="s">
        <v>41</v>
      </c>
      <c r="J2746" s="13"/>
      <c r="K2746" s="13"/>
      <c r="L2746" s="4">
        <v>5</v>
      </c>
      <c r="M2746" s="14">
        <f>117*(1-P3/100)</f>
        <v>117</v>
      </c>
      <c r="N2746" s="15"/>
      <c r="O2746" s="13">
        <f>M2746*N2746</f>
        <v>0</v>
      </c>
      <c r="P2746" s="22">
        <f>0.068*N2746</f>
        <v>0</v>
      </c>
      <c r="Q2746" s="23">
        <f>0.00013*N2746</f>
        <v>0</v>
      </c>
      <c r="R2746" s="24"/>
      <c r="S2746" s="25" t="s">
        <v>12207</v>
      </c>
      <c r="T2746" s="25" t="s">
        <v>43</v>
      </c>
      <c r="U2746" s="5" t="s">
        <v>7952</v>
      </c>
      <c r="V2746" s="5" t="s">
        <v>12208</v>
      </c>
      <c r="W2746" s="5" t="s">
        <v>46</v>
      </c>
      <c r="X2746" s="5" t="s">
        <v>12197</v>
      </c>
      <c r="Y2746" s="5"/>
      <c r="Z2746" s="5" t="str">
        <f>HYPERLINK("https://knigipp.ru/api/getInfo/image/8dec78cb-4f3d-11ef-a262-00155d82e908")</f>
        <v>https://knigipp.ru/api/getInfo/image/8dec78cb-4f3d-11ef-a262-00155d82e908</v>
      </c>
      <c r="AA2746" s="33">
        <v>10</v>
      </c>
      <c r="AB2746" s="5" t="s">
        <v>47</v>
      </c>
      <c r="AC2746" s="5" t="s">
        <v>140</v>
      </c>
      <c r="AD2746" s="5"/>
      <c r="AE2746" s="5" t="s">
        <v>49</v>
      </c>
      <c r="AF2746" s="5"/>
      <c r="AG2746" s="5"/>
      <c r="AH2746" s="5" t="s">
        <v>12198</v>
      </c>
    </row>
    <row r="2747" spans="2:35" ht="21" customHeight="1" outlineLevel="4" x14ac:dyDescent="0.2">
      <c r="B2747" s="42">
        <v>2219</v>
      </c>
      <c r="C2747" s="5" t="s">
        <v>12209</v>
      </c>
      <c r="D2747" s="5" t="s">
        <v>12210</v>
      </c>
      <c r="E2747" s="6" t="s">
        <v>12211</v>
      </c>
      <c r="F2747" s="10"/>
      <c r="G2747" s="11" t="s">
        <v>12194</v>
      </c>
      <c r="H2747" s="12">
        <v>40</v>
      </c>
      <c r="I2747" s="13" t="s">
        <v>41</v>
      </c>
      <c r="J2747" s="13"/>
      <c r="K2747" s="13"/>
      <c r="L2747" s="4">
        <v>5</v>
      </c>
      <c r="M2747" s="14">
        <f>117*(1-P3/100)</f>
        <v>117</v>
      </c>
      <c r="N2747" s="15"/>
      <c r="O2747" s="13">
        <f>M2747*N2747</f>
        <v>0</v>
      </c>
      <c r="P2747" s="22">
        <f>0.062*N2747</f>
        <v>0</v>
      </c>
      <c r="Q2747" s="23">
        <f>0.00016*N2747</f>
        <v>0</v>
      </c>
      <c r="R2747" s="24"/>
      <c r="S2747" s="25" t="s">
        <v>12212</v>
      </c>
      <c r="T2747" s="25" t="s">
        <v>43</v>
      </c>
      <c r="U2747" s="5" t="s">
        <v>7952</v>
      </c>
      <c r="V2747" s="5" t="s">
        <v>12213</v>
      </c>
      <c r="W2747" s="5" t="s">
        <v>46</v>
      </c>
      <c r="X2747" s="5" t="s">
        <v>12197</v>
      </c>
      <c r="Y2747" s="5"/>
      <c r="Z2747" s="5" t="str">
        <f>HYPERLINK("https://knigipp.ru/api/getInfo/image/b0b7d8f6-4f3d-11ef-a262-00155d82e908")</f>
        <v>https://knigipp.ru/api/getInfo/image/b0b7d8f6-4f3d-11ef-a262-00155d82e908</v>
      </c>
      <c r="AA2747" s="33">
        <v>10</v>
      </c>
      <c r="AB2747" s="5" t="s">
        <v>47</v>
      </c>
      <c r="AC2747" s="5" t="s">
        <v>140</v>
      </c>
      <c r="AD2747" s="5"/>
      <c r="AE2747" s="5" t="s">
        <v>49</v>
      </c>
      <c r="AF2747" s="5"/>
      <c r="AG2747" s="5"/>
      <c r="AH2747" s="5" t="s">
        <v>12198</v>
      </c>
    </row>
    <row r="2748" spans="2:35" ht="22.95" customHeight="1" outlineLevel="3" x14ac:dyDescent="0.2">
      <c r="B2748" s="74" t="s">
        <v>12214</v>
      </c>
      <c r="C2748" s="74"/>
      <c r="D2748" s="74"/>
    </row>
    <row r="2749" spans="2:35" ht="21" customHeight="1" outlineLevel="4" x14ac:dyDescent="0.2">
      <c r="B2749" s="42">
        <v>2220</v>
      </c>
      <c r="C2749" s="5" t="s">
        <v>12215</v>
      </c>
      <c r="D2749" s="5" t="s">
        <v>12216</v>
      </c>
      <c r="E2749" s="6" t="s">
        <v>12217</v>
      </c>
      <c r="F2749" s="10"/>
      <c r="G2749" s="11"/>
      <c r="H2749" s="12">
        <v>40</v>
      </c>
      <c r="I2749" s="13" t="s">
        <v>41</v>
      </c>
      <c r="J2749" s="13"/>
      <c r="K2749" s="13"/>
      <c r="L2749" s="4">
        <v>5</v>
      </c>
      <c r="M2749" s="14">
        <f>117*(1-P3/100)</f>
        <v>117</v>
      </c>
      <c r="N2749" s="15"/>
      <c r="O2749" s="13">
        <f>M2749*N2749</f>
        <v>0</v>
      </c>
      <c r="P2749" s="22">
        <f>0.065*N2749</f>
        <v>0</v>
      </c>
      <c r="Q2749" s="23">
        <f>0.00009*N2749</f>
        <v>0</v>
      </c>
      <c r="R2749" s="24"/>
      <c r="S2749" s="25" t="s">
        <v>12218</v>
      </c>
      <c r="T2749" s="25" t="s">
        <v>43</v>
      </c>
      <c r="U2749" s="5" t="s">
        <v>128</v>
      </c>
      <c r="V2749" s="5" t="s">
        <v>12219</v>
      </c>
      <c r="W2749" s="5" t="s">
        <v>46</v>
      </c>
      <c r="X2749" s="5"/>
      <c r="Y2749" s="5"/>
      <c r="Z2749" s="5" t="str">
        <f>HYPERLINK("https://knigipp.ru/api/getInfo/image/2d3b6f07-e8f0-11ed-a233-00155d82e902")</f>
        <v>https://knigipp.ru/api/getInfo/image/2d3b6f07-e8f0-11ed-a233-00155d82e902</v>
      </c>
      <c r="AA2749" s="33">
        <v>10</v>
      </c>
      <c r="AB2749" s="5" t="s">
        <v>47</v>
      </c>
      <c r="AC2749" s="5" t="s">
        <v>140</v>
      </c>
      <c r="AD2749" s="5"/>
      <c r="AE2749" s="5" t="s">
        <v>49</v>
      </c>
      <c r="AF2749" s="5"/>
      <c r="AG2749" s="5"/>
      <c r="AH2749" s="5" t="s">
        <v>12220</v>
      </c>
    </row>
    <row r="2750" spans="2:35" ht="21" customHeight="1" outlineLevel="4" x14ac:dyDescent="0.2">
      <c r="B2750" s="42">
        <v>2221</v>
      </c>
      <c r="C2750" s="5" t="s">
        <v>12221</v>
      </c>
      <c r="D2750" s="5" t="s">
        <v>12222</v>
      </c>
      <c r="E2750" s="6" t="s">
        <v>12223</v>
      </c>
      <c r="F2750" s="10"/>
      <c r="G2750" s="11"/>
      <c r="H2750" s="12">
        <v>40</v>
      </c>
      <c r="I2750" s="13" t="s">
        <v>41</v>
      </c>
      <c r="J2750" s="13"/>
      <c r="K2750" s="13"/>
      <c r="L2750" s="4">
        <v>5</v>
      </c>
      <c r="M2750" s="14">
        <f>117*(1-P3/100)</f>
        <v>117</v>
      </c>
      <c r="N2750" s="15"/>
      <c r="O2750" s="13">
        <f>M2750*N2750</f>
        <v>0</v>
      </c>
      <c r="P2750" s="22">
        <f>0.065*N2750</f>
        <v>0</v>
      </c>
      <c r="Q2750" s="23">
        <f>0.00009*N2750</f>
        <v>0</v>
      </c>
      <c r="R2750" s="24"/>
      <c r="S2750" s="25" t="s">
        <v>12224</v>
      </c>
      <c r="T2750" s="25" t="s">
        <v>43</v>
      </c>
      <c r="U2750" s="5" t="s">
        <v>128</v>
      </c>
      <c r="V2750" s="5" t="s">
        <v>12225</v>
      </c>
      <c r="W2750" s="5" t="s">
        <v>46</v>
      </c>
      <c r="X2750" s="5"/>
      <c r="Y2750" s="5"/>
      <c r="Z2750" s="5" t="str">
        <f>HYPERLINK("https://knigipp.ru/api/getInfo/image/55b06a2b-e8f0-11ed-a233-00155d82e902")</f>
        <v>https://knigipp.ru/api/getInfo/image/55b06a2b-e8f0-11ed-a233-00155d82e902</v>
      </c>
      <c r="AA2750" s="33">
        <v>10</v>
      </c>
      <c r="AB2750" s="5" t="s">
        <v>47</v>
      </c>
      <c r="AC2750" s="5" t="s">
        <v>140</v>
      </c>
      <c r="AD2750" s="5"/>
      <c r="AE2750" s="5" t="s">
        <v>49</v>
      </c>
      <c r="AF2750" s="5"/>
      <c r="AG2750" s="5"/>
      <c r="AH2750" s="5" t="s">
        <v>12220</v>
      </c>
    </row>
    <row r="2751" spans="2:35" ht="21" customHeight="1" outlineLevel="4" x14ac:dyDescent="0.2">
      <c r="B2751" s="42">
        <v>2222</v>
      </c>
      <c r="C2751" s="5" t="s">
        <v>12226</v>
      </c>
      <c r="D2751" s="5" t="s">
        <v>12227</v>
      </c>
      <c r="E2751" s="6" t="s">
        <v>12228</v>
      </c>
      <c r="F2751" s="10"/>
      <c r="G2751" s="11"/>
      <c r="H2751" s="12">
        <v>40</v>
      </c>
      <c r="I2751" s="13" t="s">
        <v>41</v>
      </c>
      <c r="J2751" s="13"/>
      <c r="K2751" s="13"/>
      <c r="L2751" s="4">
        <v>5</v>
      </c>
      <c r="M2751" s="14">
        <f>117*(1-P3/100)</f>
        <v>117</v>
      </c>
      <c r="N2751" s="15"/>
      <c r="O2751" s="13">
        <f>M2751*N2751</f>
        <v>0</v>
      </c>
      <c r="P2751" s="22">
        <f>0.065*N2751</f>
        <v>0</v>
      </c>
      <c r="Q2751" s="30">
        <f>0.0001*N2751</f>
        <v>0</v>
      </c>
      <c r="R2751" s="24"/>
      <c r="S2751" s="25" t="s">
        <v>12229</v>
      </c>
      <c r="T2751" s="25" t="s">
        <v>43</v>
      </c>
      <c r="U2751" s="5" t="s">
        <v>128</v>
      </c>
      <c r="V2751" s="5" t="s">
        <v>12230</v>
      </c>
      <c r="W2751" s="5" t="s">
        <v>46</v>
      </c>
      <c r="X2751" s="5"/>
      <c r="Y2751" s="5"/>
      <c r="Z2751" s="5" t="str">
        <f>HYPERLINK("https://knigipp.ru/api/getInfo/image/a4bfe266-e8f0-11ed-a233-00155d82e902")</f>
        <v>https://knigipp.ru/api/getInfo/image/a4bfe266-e8f0-11ed-a233-00155d82e902</v>
      </c>
      <c r="AA2751" s="33">
        <v>10</v>
      </c>
      <c r="AB2751" s="5" t="s">
        <v>47</v>
      </c>
      <c r="AC2751" s="5" t="s">
        <v>140</v>
      </c>
      <c r="AD2751" s="5"/>
      <c r="AE2751" s="5" t="s">
        <v>49</v>
      </c>
      <c r="AF2751" s="5"/>
      <c r="AG2751" s="5"/>
      <c r="AH2751" s="5" t="s">
        <v>12220</v>
      </c>
    </row>
    <row r="2752" spans="2:35" ht="21" customHeight="1" outlineLevel="4" x14ac:dyDescent="0.2">
      <c r="B2752" s="42">
        <v>2223</v>
      </c>
      <c r="C2752" s="5" t="s">
        <v>12231</v>
      </c>
      <c r="D2752" s="5" t="s">
        <v>12232</v>
      </c>
      <c r="E2752" s="6" t="s">
        <v>12233</v>
      </c>
      <c r="F2752" s="10"/>
      <c r="G2752" s="11"/>
      <c r="H2752" s="12">
        <v>40</v>
      </c>
      <c r="I2752" s="13" t="s">
        <v>41</v>
      </c>
      <c r="J2752" s="13"/>
      <c r="K2752" s="13"/>
      <c r="L2752" s="4">
        <v>5</v>
      </c>
      <c r="M2752" s="14">
        <f>117*(1-P3/100)</f>
        <v>117</v>
      </c>
      <c r="N2752" s="15"/>
      <c r="O2752" s="13">
        <f>M2752*N2752</f>
        <v>0</v>
      </c>
      <c r="P2752" s="22">
        <f>0.065*N2752</f>
        <v>0</v>
      </c>
      <c r="Q2752" s="23">
        <f>0.00009*N2752</f>
        <v>0</v>
      </c>
      <c r="R2752" s="24"/>
      <c r="S2752" s="25" t="s">
        <v>12234</v>
      </c>
      <c r="T2752" s="25" t="s">
        <v>43</v>
      </c>
      <c r="U2752" s="5" t="s">
        <v>128</v>
      </c>
      <c r="V2752" s="5" t="s">
        <v>12235</v>
      </c>
      <c r="W2752" s="5" t="s">
        <v>46</v>
      </c>
      <c r="X2752" s="5"/>
      <c r="Y2752" s="5"/>
      <c r="Z2752" s="5" t="str">
        <f>HYPERLINK("https://knigipp.ru/api/getInfo/image/8173c300-e8f0-11ed-a233-00155d82e902")</f>
        <v>https://knigipp.ru/api/getInfo/image/8173c300-e8f0-11ed-a233-00155d82e902</v>
      </c>
      <c r="AA2752" s="33">
        <v>10</v>
      </c>
      <c r="AB2752" s="5" t="s">
        <v>47</v>
      </c>
      <c r="AC2752" s="5" t="s">
        <v>140</v>
      </c>
      <c r="AD2752" s="5"/>
      <c r="AE2752" s="5" t="s">
        <v>49</v>
      </c>
      <c r="AF2752" s="5"/>
      <c r="AG2752" s="5"/>
      <c r="AH2752" s="5" t="s">
        <v>12220</v>
      </c>
    </row>
    <row r="2753" spans="2:35" ht="22.95" customHeight="1" outlineLevel="3" x14ac:dyDescent="0.2">
      <c r="B2753" s="74" t="s">
        <v>12236</v>
      </c>
      <c r="C2753" s="74"/>
      <c r="D2753" s="74"/>
    </row>
    <row r="2754" spans="2:35" ht="21" customHeight="1" outlineLevel="4" x14ac:dyDescent="0.2">
      <c r="B2754" s="42">
        <v>2224</v>
      </c>
      <c r="C2754" s="5" t="s">
        <v>12237</v>
      </c>
      <c r="D2754" s="5" t="s">
        <v>12238</v>
      </c>
      <c r="E2754" s="6" t="s">
        <v>12239</v>
      </c>
      <c r="F2754" s="10"/>
      <c r="G2754" s="11"/>
      <c r="H2754" s="12">
        <v>40</v>
      </c>
      <c r="I2754" s="13" t="s">
        <v>41</v>
      </c>
      <c r="J2754" s="13"/>
      <c r="K2754" s="13"/>
      <c r="L2754" s="4">
        <v>10</v>
      </c>
      <c r="M2754" s="14">
        <f>97*(1-P3/100)</f>
        <v>97</v>
      </c>
      <c r="N2754" s="15"/>
      <c r="O2754" s="13">
        <f t="shared" ref="O2754:O2765" si="117">M2754*N2754</f>
        <v>0</v>
      </c>
      <c r="P2754" s="22">
        <f>0.064*N2754</f>
        <v>0</v>
      </c>
      <c r="Q2754" s="23">
        <f>0.00009*N2754</f>
        <v>0</v>
      </c>
      <c r="R2754" s="24"/>
      <c r="S2754" s="25" t="s">
        <v>12240</v>
      </c>
      <c r="T2754" s="25" t="s">
        <v>43</v>
      </c>
      <c r="U2754" s="5"/>
      <c r="V2754" s="5"/>
      <c r="W2754" s="5" t="s">
        <v>46</v>
      </c>
      <c r="X2754" s="5"/>
      <c r="Y2754" s="5"/>
      <c r="Z2754" s="5" t="str">
        <f>HYPERLINK("https://knigipp.ru/api/getInfo/image/2cf38db8-ae54-11ef-a267-00155d82e908")</f>
        <v>https://knigipp.ru/api/getInfo/image/2cf38db8-ae54-11ef-a267-00155d82e908</v>
      </c>
      <c r="AA2754" s="33">
        <v>10</v>
      </c>
      <c r="AB2754" s="5" t="s">
        <v>47</v>
      </c>
      <c r="AC2754" s="5" t="s">
        <v>140</v>
      </c>
      <c r="AD2754" s="5"/>
      <c r="AE2754" s="5" t="s">
        <v>49</v>
      </c>
      <c r="AF2754" s="5"/>
      <c r="AG2754" s="5"/>
      <c r="AH2754" s="5" t="s">
        <v>12220</v>
      </c>
    </row>
    <row r="2755" spans="2:35" ht="21" customHeight="1" outlineLevel="4" x14ac:dyDescent="0.2">
      <c r="B2755" s="42">
        <v>2225</v>
      </c>
      <c r="C2755" s="5" t="s">
        <v>12241</v>
      </c>
      <c r="D2755" s="5" t="s">
        <v>12242</v>
      </c>
      <c r="E2755" s="6" t="s">
        <v>12243</v>
      </c>
      <c r="F2755" s="10"/>
      <c r="G2755" s="11"/>
      <c r="H2755" s="12">
        <v>40</v>
      </c>
      <c r="I2755" s="13" t="s">
        <v>41</v>
      </c>
      <c r="J2755" s="13"/>
      <c r="K2755" s="13"/>
      <c r="L2755" s="4">
        <v>10</v>
      </c>
      <c r="M2755" s="14">
        <f>97*(1-P3/100)</f>
        <v>97</v>
      </c>
      <c r="N2755" s="15"/>
      <c r="O2755" s="13">
        <f t="shared" si="117"/>
        <v>0</v>
      </c>
      <c r="P2755" s="22">
        <f>0.064*N2755</f>
        <v>0</v>
      </c>
      <c r="Q2755" s="23">
        <f>0.00009*N2755</f>
        <v>0</v>
      </c>
      <c r="R2755" s="24"/>
      <c r="S2755" s="25" t="s">
        <v>12244</v>
      </c>
      <c r="T2755" s="25" t="s">
        <v>43</v>
      </c>
      <c r="U2755" s="5"/>
      <c r="V2755" s="5"/>
      <c r="W2755" s="5" t="s">
        <v>46</v>
      </c>
      <c r="X2755" s="5"/>
      <c r="Y2755" s="5"/>
      <c r="Z2755" s="5" t="str">
        <f>HYPERLINK("https://knigipp.ru/api/getInfo/image/5b475ef0-ae54-11ef-a267-00155d82e908")</f>
        <v>https://knigipp.ru/api/getInfo/image/5b475ef0-ae54-11ef-a267-00155d82e908</v>
      </c>
      <c r="AA2755" s="33">
        <v>10</v>
      </c>
      <c r="AB2755" s="5" t="s">
        <v>47</v>
      </c>
      <c r="AC2755" s="5" t="s">
        <v>140</v>
      </c>
      <c r="AD2755" s="5"/>
      <c r="AE2755" s="5" t="s">
        <v>49</v>
      </c>
      <c r="AF2755" s="5"/>
      <c r="AG2755" s="5"/>
      <c r="AH2755" s="5" t="s">
        <v>12220</v>
      </c>
    </row>
    <row r="2756" spans="2:35" ht="21" customHeight="1" outlineLevel="4" x14ac:dyDescent="0.2">
      <c r="B2756" s="42">
        <v>2226</v>
      </c>
      <c r="C2756" s="5" t="s">
        <v>12245</v>
      </c>
      <c r="D2756" s="5" t="s">
        <v>12246</v>
      </c>
      <c r="E2756" s="6" t="s">
        <v>12247</v>
      </c>
      <c r="F2756" s="10"/>
      <c r="G2756" s="11"/>
      <c r="H2756" s="12">
        <v>40</v>
      </c>
      <c r="I2756" s="13" t="s">
        <v>41</v>
      </c>
      <c r="J2756" s="13"/>
      <c r="K2756" s="13"/>
      <c r="L2756" s="4">
        <v>10</v>
      </c>
      <c r="M2756" s="14">
        <f>97*(1-P3/100)</f>
        <v>97</v>
      </c>
      <c r="N2756" s="15"/>
      <c r="O2756" s="13">
        <f t="shared" si="117"/>
        <v>0</v>
      </c>
      <c r="P2756" s="22">
        <f>0.067*N2756</f>
        <v>0</v>
      </c>
      <c r="Q2756" s="23">
        <f>0.00018*N2756</f>
        <v>0</v>
      </c>
      <c r="R2756" s="24"/>
      <c r="S2756" s="25" t="s">
        <v>12248</v>
      </c>
      <c r="T2756" s="25" t="s">
        <v>43</v>
      </c>
      <c r="U2756" s="5"/>
      <c r="V2756" s="5"/>
      <c r="W2756" s="5" t="s">
        <v>46</v>
      </c>
      <c r="X2756" s="5"/>
      <c r="Y2756" s="5"/>
      <c r="Z2756" s="5" t="str">
        <f>HYPERLINK("https://knigipp.ru/api/getInfo/image/8a3b8f28-ae54-11ef-a267-00155d82e908")</f>
        <v>https://knigipp.ru/api/getInfo/image/8a3b8f28-ae54-11ef-a267-00155d82e908</v>
      </c>
      <c r="AA2756" s="33">
        <v>10</v>
      </c>
      <c r="AB2756" s="5" t="s">
        <v>47</v>
      </c>
      <c r="AC2756" s="5" t="s">
        <v>140</v>
      </c>
      <c r="AD2756" s="5"/>
      <c r="AE2756" s="5" t="s">
        <v>49</v>
      </c>
      <c r="AF2756" s="5"/>
      <c r="AG2756" s="5"/>
      <c r="AH2756" s="5" t="s">
        <v>12220</v>
      </c>
    </row>
    <row r="2757" spans="2:35" ht="21" customHeight="1" outlineLevel="4" x14ac:dyDescent="0.2">
      <c r="B2757" s="42">
        <v>2227</v>
      </c>
      <c r="C2757" s="5" t="s">
        <v>12249</v>
      </c>
      <c r="D2757" s="5" t="s">
        <v>12250</v>
      </c>
      <c r="E2757" s="6" t="s">
        <v>12251</v>
      </c>
      <c r="F2757" s="10"/>
      <c r="G2757" s="11"/>
      <c r="H2757" s="12">
        <v>40</v>
      </c>
      <c r="I2757" s="13" t="s">
        <v>41</v>
      </c>
      <c r="J2757" s="13"/>
      <c r="K2757" s="13"/>
      <c r="L2757" s="4">
        <v>10</v>
      </c>
      <c r="M2757" s="14">
        <f>97*(1-P3/100)</f>
        <v>97</v>
      </c>
      <c r="N2757" s="15"/>
      <c r="O2757" s="13">
        <f t="shared" si="117"/>
        <v>0</v>
      </c>
      <c r="P2757" s="22">
        <f>0.068*N2757</f>
        <v>0</v>
      </c>
      <c r="Q2757" s="23">
        <f>0.00011*N2757</f>
        <v>0</v>
      </c>
      <c r="R2757" s="24"/>
      <c r="S2757" s="25" t="s">
        <v>12252</v>
      </c>
      <c r="T2757" s="25" t="s">
        <v>43</v>
      </c>
      <c r="U2757" s="5"/>
      <c r="V2757" s="5"/>
      <c r="W2757" s="5" t="s">
        <v>46</v>
      </c>
      <c r="X2757" s="5"/>
      <c r="Y2757" s="5"/>
      <c r="Z2757" s="5" t="str">
        <f>HYPERLINK("https://knigipp.ru/api/getInfo/image/b0c8b3ba-ae54-11ef-a267-00155d82e908")</f>
        <v>https://knigipp.ru/api/getInfo/image/b0c8b3ba-ae54-11ef-a267-00155d82e908</v>
      </c>
      <c r="AA2757" s="33">
        <v>10</v>
      </c>
      <c r="AB2757" s="5" t="s">
        <v>47</v>
      </c>
      <c r="AC2757" s="5" t="s">
        <v>140</v>
      </c>
      <c r="AD2757" s="5"/>
      <c r="AE2757" s="5" t="s">
        <v>49</v>
      </c>
      <c r="AF2757" s="5"/>
      <c r="AG2757" s="5"/>
      <c r="AH2757" s="5" t="s">
        <v>12220</v>
      </c>
    </row>
    <row r="2758" spans="2:35" ht="21" customHeight="1" outlineLevel="4" x14ac:dyDescent="0.2">
      <c r="B2758" s="42">
        <v>2228</v>
      </c>
      <c r="C2758" s="5" t="s">
        <v>12253</v>
      </c>
      <c r="D2758" s="5" t="s">
        <v>12254</v>
      </c>
      <c r="E2758" s="6" t="s">
        <v>12255</v>
      </c>
      <c r="F2758" s="10"/>
      <c r="G2758" s="11"/>
      <c r="H2758" s="12">
        <v>40</v>
      </c>
      <c r="I2758" s="13" t="s">
        <v>41</v>
      </c>
      <c r="J2758" s="13"/>
      <c r="K2758" s="13"/>
      <c r="L2758" s="4">
        <v>10</v>
      </c>
      <c r="M2758" s="14">
        <f>97*(1-P3/100)</f>
        <v>97</v>
      </c>
      <c r="N2758" s="15"/>
      <c r="O2758" s="13">
        <f t="shared" si="117"/>
        <v>0</v>
      </c>
      <c r="P2758" s="22">
        <f>0.068*N2758</f>
        <v>0</v>
      </c>
      <c r="Q2758" s="23">
        <f>0.00011*N2758</f>
        <v>0</v>
      </c>
      <c r="R2758" s="24"/>
      <c r="S2758" s="25" t="s">
        <v>12256</v>
      </c>
      <c r="T2758" s="25" t="s">
        <v>43</v>
      </c>
      <c r="U2758" s="5"/>
      <c r="V2758" s="5"/>
      <c r="W2758" s="5" t="s">
        <v>46</v>
      </c>
      <c r="X2758" s="5"/>
      <c r="Y2758" s="5"/>
      <c r="Z2758" s="5" t="str">
        <f>HYPERLINK("https://knigipp.ru/api/getInfo/image/ed833828-ae54-11ef-a267-00155d82e908")</f>
        <v>https://knigipp.ru/api/getInfo/image/ed833828-ae54-11ef-a267-00155d82e908</v>
      </c>
      <c r="AA2758" s="33">
        <v>10</v>
      </c>
      <c r="AB2758" s="5" t="s">
        <v>47</v>
      </c>
      <c r="AC2758" s="5" t="s">
        <v>140</v>
      </c>
      <c r="AD2758" s="5"/>
      <c r="AE2758" s="5" t="s">
        <v>49</v>
      </c>
      <c r="AF2758" s="5"/>
      <c r="AG2758" s="5"/>
      <c r="AH2758" s="5" t="s">
        <v>12220</v>
      </c>
    </row>
    <row r="2759" spans="2:35" ht="21" customHeight="1" outlineLevel="4" x14ac:dyDescent="0.2">
      <c r="B2759" s="42">
        <v>2229</v>
      </c>
      <c r="C2759" s="5" t="s">
        <v>12257</v>
      </c>
      <c r="D2759" s="5" t="s">
        <v>12258</v>
      </c>
      <c r="E2759" s="6" t="s">
        <v>12259</v>
      </c>
      <c r="F2759" s="10"/>
      <c r="G2759" s="11"/>
      <c r="H2759" s="12">
        <v>40</v>
      </c>
      <c r="I2759" s="13" t="s">
        <v>41</v>
      </c>
      <c r="J2759" s="13"/>
      <c r="K2759" s="13"/>
      <c r="L2759" s="4">
        <v>10</v>
      </c>
      <c r="M2759" s="14">
        <f>97*(1-P3/100)</f>
        <v>97</v>
      </c>
      <c r="N2759" s="15"/>
      <c r="O2759" s="13">
        <f t="shared" si="117"/>
        <v>0</v>
      </c>
      <c r="P2759" s="22">
        <f>0.068*N2759</f>
        <v>0</v>
      </c>
      <c r="Q2759" s="23">
        <f>0.00011*N2759</f>
        <v>0</v>
      </c>
      <c r="R2759" s="24"/>
      <c r="S2759" s="25" t="s">
        <v>12260</v>
      </c>
      <c r="T2759" s="25" t="s">
        <v>43</v>
      </c>
      <c r="U2759" s="5"/>
      <c r="V2759" s="5"/>
      <c r="W2759" s="5" t="s">
        <v>46</v>
      </c>
      <c r="X2759" s="5"/>
      <c r="Y2759" s="5"/>
      <c r="Z2759" s="5" t="str">
        <f>HYPERLINK("https://knigipp.ru/api/getInfo/image/1af81eef-ae55-11ef-a267-00155d82e908")</f>
        <v>https://knigipp.ru/api/getInfo/image/1af81eef-ae55-11ef-a267-00155d82e908</v>
      </c>
      <c r="AA2759" s="33">
        <v>10</v>
      </c>
      <c r="AB2759" s="5" t="s">
        <v>47</v>
      </c>
      <c r="AC2759" s="5" t="s">
        <v>140</v>
      </c>
      <c r="AD2759" s="5"/>
      <c r="AE2759" s="5" t="s">
        <v>49</v>
      </c>
      <c r="AF2759" s="5"/>
      <c r="AG2759" s="5"/>
      <c r="AH2759" s="5" t="s">
        <v>12220</v>
      </c>
    </row>
    <row r="2760" spans="2:35" ht="21" customHeight="1" outlineLevel="4" x14ac:dyDescent="0.2">
      <c r="B2760" s="42">
        <v>2230</v>
      </c>
      <c r="C2760" s="5" t="s">
        <v>12261</v>
      </c>
      <c r="D2760" s="5" t="s">
        <v>12262</v>
      </c>
      <c r="E2760" s="6" t="s">
        <v>12263</v>
      </c>
      <c r="F2760" s="10"/>
      <c r="G2760" s="11"/>
      <c r="H2760" s="12">
        <v>40</v>
      </c>
      <c r="I2760" s="13" t="s">
        <v>41</v>
      </c>
      <c r="J2760" s="13"/>
      <c r="K2760" s="13"/>
      <c r="L2760" s="4">
        <v>10</v>
      </c>
      <c r="M2760" s="14">
        <f>97*(1-P3/100)</f>
        <v>97</v>
      </c>
      <c r="N2760" s="15"/>
      <c r="O2760" s="13">
        <f t="shared" si="117"/>
        <v>0</v>
      </c>
      <c r="P2760" s="22">
        <f>0.064*N2760</f>
        <v>0</v>
      </c>
      <c r="Q2760" s="23">
        <f>0.00009*N2760</f>
        <v>0</v>
      </c>
      <c r="R2760" s="24"/>
      <c r="S2760" s="25" t="s">
        <v>12264</v>
      </c>
      <c r="T2760" s="25" t="s">
        <v>43</v>
      </c>
      <c r="U2760" s="5"/>
      <c r="V2760" s="5"/>
      <c r="W2760" s="5" t="s">
        <v>46</v>
      </c>
      <c r="X2760" s="5"/>
      <c r="Y2760" s="5"/>
      <c r="Z2760" s="5" t="str">
        <f>HYPERLINK("https://knigipp.ru/api/getInfo/image/4301aacf-ae55-11ef-a267-00155d82e908")</f>
        <v>https://knigipp.ru/api/getInfo/image/4301aacf-ae55-11ef-a267-00155d82e908</v>
      </c>
      <c r="AA2760" s="33">
        <v>10</v>
      </c>
      <c r="AB2760" s="5" t="s">
        <v>47</v>
      </c>
      <c r="AC2760" s="5" t="s">
        <v>140</v>
      </c>
      <c r="AD2760" s="5"/>
      <c r="AE2760" s="5" t="s">
        <v>49</v>
      </c>
      <c r="AF2760" s="5"/>
      <c r="AG2760" s="5"/>
      <c r="AH2760" s="5" t="s">
        <v>12220</v>
      </c>
    </row>
    <row r="2761" spans="2:35" ht="21" customHeight="1" outlineLevel="4" x14ac:dyDescent="0.2">
      <c r="B2761" s="42">
        <v>2231</v>
      </c>
      <c r="C2761" s="5" t="s">
        <v>12265</v>
      </c>
      <c r="D2761" s="5" t="s">
        <v>12266</v>
      </c>
      <c r="E2761" s="6" t="s">
        <v>12267</v>
      </c>
      <c r="F2761" s="10"/>
      <c r="G2761" s="11"/>
      <c r="H2761" s="12">
        <v>40</v>
      </c>
      <c r="I2761" s="13" t="s">
        <v>41</v>
      </c>
      <c r="J2761" s="13"/>
      <c r="K2761" s="13"/>
      <c r="L2761" s="4">
        <v>10</v>
      </c>
      <c r="M2761" s="14">
        <f>97*(1-P3/100)</f>
        <v>97</v>
      </c>
      <c r="N2761" s="15"/>
      <c r="O2761" s="13">
        <f t="shared" si="117"/>
        <v>0</v>
      </c>
      <c r="P2761" s="22">
        <f>0.064*N2761</f>
        <v>0</v>
      </c>
      <c r="Q2761" s="23">
        <f>0.00009*N2761</f>
        <v>0</v>
      </c>
      <c r="R2761" s="24"/>
      <c r="S2761" s="25" t="s">
        <v>12268</v>
      </c>
      <c r="T2761" s="25" t="s">
        <v>43</v>
      </c>
      <c r="U2761" s="5"/>
      <c r="V2761" s="5"/>
      <c r="W2761" s="5" t="s">
        <v>46</v>
      </c>
      <c r="X2761" s="5"/>
      <c r="Y2761" s="5"/>
      <c r="Z2761" s="5" t="str">
        <f>HYPERLINK("https://knigipp.ru/api/getInfo/image/66f4745c-ae55-11ef-a267-00155d82e908")</f>
        <v>https://knigipp.ru/api/getInfo/image/66f4745c-ae55-11ef-a267-00155d82e908</v>
      </c>
      <c r="AA2761" s="33">
        <v>10</v>
      </c>
      <c r="AB2761" s="5" t="s">
        <v>47</v>
      </c>
      <c r="AC2761" s="5" t="s">
        <v>140</v>
      </c>
      <c r="AD2761" s="5"/>
      <c r="AE2761" s="5" t="s">
        <v>49</v>
      </c>
      <c r="AF2761" s="5"/>
      <c r="AG2761" s="5"/>
      <c r="AH2761" s="5" t="s">
        <v>12220</v>
      </c>
    </row>
    <row r="2762" spans="2:35" ht="21" customHeight="1" outlineLevel="4" x14ac:dyDescent="0.2">
      <c r="B2762" s="42">
        <v>2232</v>
      </c>
      <c r="C2762" s="5" t="s">
        <v>12269</v>
      </c>
      <c r="D2762" s="5" t="s">
        <v>12270</v>
      </c>
      <c r="E2762" s="6" t="s">
        <v>12271</v>
      </c>
      <c r="F2762" s="10"/>
      <c r="G2762" s="11"/>
      <c r="H2762" s="12">
        <v>40</v>
      </c>
      <c r="I2762" s="13" t="s">
        <v>41</v>
      </c>
      <c r="J2762" s="13"/>
      <c r="K2762" s="13"/>
      <c r="L2762" s="4">
        <v>10</v>
      </c>
      <c r="M2762" s="14">
        <f>97*(1-P3/100)</f>
        <v>97</v>
      </c>
      <c r="N2762" s="15"/>
      <c r="O2762" s="13">
        <f t="shared" si="117"/>
        <v>0</v>
      </c>
      <c r="P2762" s="22">
        <f>0.068*N2762</f>
        <v>0</v>
      </c>
      <c r="Q2762" s="23">
        <f>0.00011*N2762</f>
        <v>0</v>
      </c>
      <c r="R2762" s="24"/>
      <c r="S2762" s="25" t="s">
        <v>12272</v>
      </c>
      <c r="T2762" s="25" t="s">
        <v>43</v>
      </c>
      <c r="U2762" s="5"/>
      <c r="V2762" s="5"/>
      <c r="W2762" s="5" t="s">
        <v>46</v>
      </c>
      <c r="X2762" s="5"/>
      <c r="Y2762" s="5"/>
      <c r="Z2762" s="5" t="str">
        <f>HYPERLINK("https://knigipp.ru/api/getInfo/image/8cf8b999-ae55-11ef-a267-00155d82e908")</f>
        <v>https://knigipp.ru/api/getInfo/image/8cf8b999-ae55-11ef-a267-00155d82e908</v>
      </c>
      <c r="AA2762" s="33">
        <v>10</v>
      </c>
      <c r="AB2762" s="5" t="s">
        <v>47</v>
      </c>
      <c r="AC2762" s="5" t="s">
        <v>140</v>
      </c>
      <c r="AD2762" s="5"/>
      <c r="AE2762" s="5" t="s">
        <v>49</v>
      </c>
      <c r="AF2762" s="5"/>
      <c r="AG2762" s="5"/>
      <c r="AH2762" s="5" t="s">
        <v>12220</v>
      </c>
    </row>
    <row r="2763" spans="2:35" ht="21" customHeight="1" outlineLevel="4" x14ac:dyDescent="0.2">
      <c r="B2763" s="42">
        <v>2233</v>
      </c>
      <c r="C2763" s="5" t="s">
        <v>12273</v>
      </c>
      <c r="D2763" s="5" t="s">
        <v>12274</v>
      </c>
      <c r="E2763" s="6" t="s">
        <v>12275</v>
      </c>
      <c r="F2763" s="10"/>
      <c r="G2763" s="11"/>
      <c r="H2763" s="12">
        <v>40</v>
      </c>
      <c r="I2763" s="13" t="s">
        <v>41</v>
      </c>
      <c r="J2763" s="13"/>
      <c r="K2763" s="13"/>
      <c r="L2763" s="4">
        <v>10</v>
      </c>
      <c r="M2763" s="14">
        <f>97*(1-P3/100)</f>
        <v>97</v>
      </c>
      <c r="N2763" s="15"/>
      <c r="O2763" s="13">
        <f t="shared" si="117"/>
        <v>0</v>
      </c>
      <c r="P2763" s="22">
        <f>0.064*N2763</f>
        <v>0</v>
      </c>
      <c r="Q2763" s="23">
        <f>0.00009*N2763</f>
        <v>0</v>
      </c>
      <c r="R2763" s="24"/>
      <c r="S2763" s="25" t="s">
        <v>12276</v>
      </c>
      <c r="T2763" s="25" t="s">
        <v>43</v>
      </c>
      <c r="U2763" s="5"/>
      <c r="V2763" s="5"/>
      <c r="W2763" s="5" t="s">
        <v>46</v>
      </c>
      <c r="X2763" s="5"/>
      <c r="Y2763" s="5"/>
      <c r="Z2763" s="5" t="str">
        <f>HYPERLINK("https://knigipp.ru/api/getInfo/image/b0ce5e75-ae55-11ef-a267-00155d82e908")</f>
        <v>https://knigipp.ru/api/getInfo/image/b0ce5e75-ae55-11ef-a267-00155d82e908</v>
      </c>
      <c r="AA2763" s="33">
        <v>10</v>
      </c>
      <c r="AB2763" s="5" t="s">
        <v>47</v>
      </c>
      <c r="AC2763" s="5" t="s">
        <v>140</v>
      </c>
      <c r="AD2763" s="5"/>
      <c r="AE2763" s="5" t="s">
        <v>49</v>
      </c>
      <c r="AF2763" s="5"/>
      <c r="AG2763" s="5"/>
      <c r="AH2763" s="5" t="s">
        <v>12220</v>
      </c>
    </row>
    <row r="2764" spans="2:35" ht="21" customHeight="1" outlineLevel="4" x14ac:dyDescent="0.2">
      <c r="B2764" s="42">
        <v>2234</v>
      </c>
      <c r="C2764" s="5" t="s">
        <v>12277</v>
      </c>
      <c r="D2764" s="5" t="s">
        <v>12278</v>
      </c>
      <c r="E2764" s="6" t="s">
        <v>12279</v>
      </c>
      <c r="F2764" s="10"/>
      <c r="G2764" s="11"/>
      <c r="H2764" s="12">
        <v>40</v>
      </c>
      <c r="I2764" s="13" t="s">
        <v>41</v>
      </c>
      <c r="J2764" s="13"/>
      <c r="K2764" s="13"/>
      <c r="L2764" s="4">
        <v>10</v>
      </c>
      <c r="M2764" s="14">
        <f>97*(1-P3/100)</f>
        <v>97</v>
      </c>
      <c r="N2764" s="15"/>
      <c r="O2764" s="13">
        <f t="shared" si="117"/>
        <v>0</v>
      </c>
      <c r="P2764" s="22">
        <f>0.064*N2764</f>
        <v>0</v>
      </c>
      <c r="Q2764" s="23">
        <f>0.00009*N2764</f>
        <v>0</v>
      </c>
      <c r="R2764" s="24"/>
      <c r="S2764" s="25" t="s">
        <v>12280</v>
      </c>
      <c r="T2764" s="25" t="s">
        <v>43</v>
      </c>
      <c r="U2764" s="5"/>
      <c r="V2764" s="5"/>
      <c r="W2764" s="5" t="s">
        <v>46</v>
      </c>
      <c r="X2764" s="5"/>
      <c r="Y2764" s="5"/>
      <c r="Z2764" s="5" t="str">
        <f>HYPERLINK("https://knigipp.ru/api/getInfo/image/e12af8c6-ae55-11ef-a267-00155d82e908")</f>
        <v>https://knigipp.ru/api/getInfo/image/e12af8c6-ae55-11ef-a267-00155d82e908</v>
      </c>
      <c r="AA2764" s="33">
        <v>10</v>
      </c>
      <c r="AB2764" s="5" t="s">
        <v>47</v>
      </c>
      <c r="AC2764" s="5" t="s">
        <v>140</v>
      </c>
      <c r="AD2764" s="5"/>
      <c r="AE2764" s="5" t="s">
        <v>49</v>
      </c>
      <c r="AF2764" s="5"/>
      <c r="AG2764" s="5"/>
      <c r="AH2764" s="5" t="s">
        <v>12220</v>
      </c>
    </row>
    <row r="2765" spans="2:35" ht="21" customHeight="1" outlineLevel="4" x14ac:dyDescent="0.2">
      <c r="B2765" s="42">
        <v>2235</v>
      </c>
      <c r="C2765" s="5" t="s">
        <v>12281</v>
      </c>
      <c r="D2765" s="5" t="s">
        <v>12282</v>
      </c>
      <c r="E2765" s="6" t="s">
        <v>12283</v>
      </c>
      <c r="F2765" s="10"/>
      <c r="G2765" s="11"/>
      <c r="H2765" s="12">
        <v>40</v>
      </c>
      <c r="I2765" s="13" t="s">
        <v>41</v>
      </c>
      <c r="J2765" s="13"/>
      <c r="K2765" s="13"/>
      <c r="L2765" s="4">
        <v>10</v>
      </c>
      <c r="M2765" s="14">
        <f>97*(1-P3/100)</f>
        <v>97</v>
      </c>
      <c r="N2765" s="15"/>
      <c r="O2765" s="13">
        <f t="shared" si="117"/>
        <v>0</v>
      </c>
      <c r="P2765" s="22">
        <f>0.068*N2765</f>
        <v>0</v>
      </c>
      <c r="Q2765" s="23">
        <f>0.00011*N2765</f>
        <v>0</v>
      </c>
      <c r="R2765" s="24"/>
      <c r="S2765" s="25" t="s">
        <v>12284</v>
      </c>
      <c r="T2765" s="25" t="s">
        <v>43</v>
      </c>
      <c r="U2765" s="5"/>
      <c r="V2765" s="5"/>
      <c r="W2765" s="5" t="s">
        <v>46</v>
      </c>
      <c r="X2765" s="5"/>
      <c r="Y2765" s="5"/>
      <c r="Z2765" s="5" t="str">
        <f>HYPERLINK("https://knigipp.ru/api/getInfo/image/0fb85094-ae56-11ef-a267-00155d82e908")</f>
        <v>https://knigipp.ru/api/getInfo/image/0fb85094-ae56-11ef-a267-00155d82e908</v>
      </c>
      <c r="AA2765" s="33">
        <v>10</v>
      </c>
      <c r="AB2765" s="5" t="s">
        <v>47</v>
      </c>
      <c r="AC2765" s="5" t="s">
        <v>140</v>
      </c>
      <c r="AD2765" s="5"/>
      <c r="AE2765" s="5" t="s">
        <v>49</v>
      </c>
      <c r="AF2765" s="5"/>
      <c r="AG2765" s="5"/>
      <c r="AH2765" s="5" t="s">
        <v>12220</v>
      </c>
    </row>
    <row r="2766" spans="2:35" ht="22.95" customHeight="1" outlineLevel="3" x14ac:dyDescent="0.2">
      <c r="B2766" s="74" t="s">
        <v>12285</v>
      </c>
      <c r="C2766" s="74"/>
      <c r="D2766" s="74"/>
    </row>
    <row r="2767" spans="2:35" ht="21" customHeight="1" outlineLevel="4" x14ac:dyDescent="0.2">
      <c r="B2767" s="43">
        <v>2236</v>
      </c>
      <c r="C2767" s="8" t="s">
        <v>12286</v>
      </c>
      <c r="D2767" s="8" t="s">
        <v>12287</v>
      </c>
      <c r="E2767" s="9" t="s">
        <v>12288</v>
      </c>
      <c r="F2767" s="16"/>
      <c r="G2767" s="17" t="s">
        <v>12289</v>
      </c>
      <c r="H2767" s="18">
        <v>20</v>
      </c>
      <c r="I2767" s="19" t="s">
        <v>41</v>
      </c>
      <c r="J2767" s="19"/>
      <c r="K2767" s="19"/>
      <c r="L2767" s="7">
        <v>1</v>
      </c>
      <c r="M2767" s="21">
        <f>447*(1-P3/100)</f>
        <v>447</v>
      </c>
      <c r="N2767" s="15"/>
      <c r="O2767" s="19">
        <f>M2767*N2767</f>
        <v>0</v>
      </c>
      <c r="P2767" s="26">
        <f>0.205*N2767</f>
        <v>0</v>
      </c>
      <c r="Q2767" s="27">
        <f>0.00036*N2767</f>
        <v>0</v>
      </c>
      <c r="R2767" s="28" t="s">
        <v>81</v>
      </c>
      <c r="S2767" s="29" t="s">
        <v>12290</v>
      </c>
      <c r="T2767" s="29" t="s">
        <v>43</v>
      </c>
      <c r="U2767" s="8"/>
      <c r="V2767" s="8" t="s">
        <v>12291</v>
      </c>
      <c r="W2767" s="8" t="s">
        <v>46</v>
      </c>
      <c r="X2767" s="8"/>
      <c r="Y2767" s="8"/>
      <c r="Z2767" s="8" t="str">
        <f>HYPERLINK("https://knigipp.ru/api/getInfo/image/fae30d73-fdd4-11f0-a28e-00155d82e908")</f>
        <v>https://knigipp.ru/api/getInfo/image/fae30d73-fdd4-11f0-a28e-00155d82e908</v>
      </c>
      <c r="AA2767" s="34">
        <v>16</v>
      </c>
      <c r="AB2767" s="8" t="s">
        <v>47</v>
      </c>
      <c r="AC2767" s="8" t="s">
        <v>140</v>
      </c>
      <c r="AD2767" s="8"/>
      <c r="AE2767" s="8"/>
      <c r="AF2767" s="8"/>
      <c r="AG2767" s="8"/>
      <c r="AH2767" s="8" t="s">
        <v>12292</v>
      </c>
      <c r="AI2767" s="55"/>
    </row>
    <row r="2768" spans="2:35" ht="21" customHeight="1" outlineLevel="4" x14ac:dyDescent="0.2">
      <c r="B2768" s="43">
        <v>2237</v>
      </c>
      <c r="C2768" s="8" t="s">
        <v>12293</v>
      </c>
      <c r="D2768" s="8" t="s">
        <v>12294</v>
      </c>
      <c r="E2768" s="9" t="s">
        <v>12295</v>
      </c>
      <c r="F2768" s="16"/>
      <c r="G2768" s="17" t="s">
        <v>12289</v>
      </c>
      <c r="H2768" s="18">
        <v>20</v>
      </c>
      <c r="I2768" s="19" t="s">
        <v>41</v>
      </c>
      <c r="J2768" s="19"/>
      <c r="K2768" s="19"/>
      <c r="L2768" s="7">
        <v>1</v>
      </c>
      <c r="M2768" s="21">
        <f>447*(1-P3/100)</f>
        <v>447</v>
      </c>
      <c r="N2768" s="15"/>
      <c r="O2768" s="19">
        <f>M2768*N2768</f>
        <v>0</v>
      </c>
      <c r="P2768" s="26">
        <f>0.202*N2768</f>
        <v>0</v>
      </c>
      <c r="Q2768" s="27">
        <f>0.00031*N2768</f>
        <v>0</v>
      </c>
      <c r="R2768" s="28" t="s">
        <v>81</v>
      </c>
      <c r="S2768" s="29" t="s">
        <v>12296</v>
      </c>
      <c r="T2768" s="29" t="s">
        <v>43</v>
      </c>
      <c r="U2768" s="8"/>
      <c r="V2768" s="8" t="s">
        <v>12297</v>
      </c>
      <c r="W2768" s="8" t="s">
        <v>46</v>
      </c>
      <c r="X2768" s="8"/>
      <c r="Y2768" s="8"/>
      <c r="Z2768" s="8" t="str">
        <f>HYPERLINK("https://knigipp.ru/api/getInfo/image/79060c05-fdd4-11f0-a28e-00155d82e908")</f>
        <v>https://knigipp.ru/api/getInfo/image/79060c05-fdd4-11f0-a28e-00155d82e908</v>
      </c>
      <c r="AA2768" s="34">
        <v>16</v>
      </c>
      <c r="AB2768" s="8" t="s">
        <v>47</v>
      </c>
      <c r="AC2768" s="8" t="s">
        <v>140</v>
      </c>
      <c r="AD2768" s="8"/>
      <c r="AE2768" s="8"/>
      <c r="AF2768" s="8"/>
      <c r="AG2768" s="8"/>
      <c r="AH2768" s="8" t="s">
        <v>12292</v>
      </c>
      <c r="AI2768" s="55"/>
    </row>
    <row r="2769" spans="2:35" ht="21" customHeight="1" outlineLevel="4" x14ac:dyDescent="0.2">
      <c r="B2769" s="43">
        <v>2238</v>
      </c>
      <c r="C2769" s="8" t="s">
        <v>12298</v>
      </c>
      <c r="D2769" s="8" t="s">
        <v>12299</v>
      </c>
      <c r="E2769" s="9" t="s">
        <v>12300</v>
      </c>
      <c r="F2769" s="16"/>
      <c r="G2769" s="17" t="s">
        <v>12289</v>
      </c>
      <c r="H2769" s="18">
        <v>20</v>
      </c>
      <c r="I2769" s="19" t="s">
        <v>41</v>
      </c>
      <c r="J2769" s="19"/>
      <c r="K2769" s="19"/>
      <c r="L2769" s="7">
        <v>1</v>
      </c>
      <c r="M2769" s="21">
        <f>447*(1-P3/100)</f>
        <v>447</v>
      </c>
      <c r="N2769" s="15"/>
      <c r="O2769" s="19">
        <f>M2769*N2769</f>
        <v>0</v>
      </c>
      <c r="P2769" s="26">
        <f>0.215*N2769</f>
        <v>0</v>
      </c>
      <c r="Q2769" s="27">
        <f>0.00027*N2769</f>
        <v>0</v>
      </c>
      <c r="R2769" s="28" t="s">
        <v>81</v>
      </c>
      <c r="S2769" s="29" t="s">
        <v>12301</v>
      </c>
      <c r="T2769" s="29" t="s">
        <v>43</v>
      </c>
      <c r="U2769" s="8"/>
      <c r="V2769" s="8" t="s">
        <v>12302</v>
      </c>
      <c r="W2769" s="8" t="s">
        <v>46</v>
      </c>
      <c r="X2769" s="8"/>
      <c r="Y2769" s="8"/>
      <c r="Z2769" s="8" t="str">
        <f>HYPERLINK("https://knigipp.ru/api/getInfo/image/9e1de59b-fdd4-11f0-a28e-00155d82e908")</f>
        <v>https://knigipp.ru/api/getInfo/image/9e1de59b-fdd4-11f0-a28e-00155d82e908</v>
      </c>
      <c r="AA2769" s="34">
        <v>16</v>
      </c>
      <c r="AB2769" s="8" t="s">
        <v>47</v>
      </c>
      <c r="AC2769" s="8" t="s">
        <v>140</v>
      </c>
      <c r="AD2769" s="8"/>
      <c r="AE2769" s="8"/>
      <c r="AF2769" s="8"/>
      <c r="AG2769" s="8"/>
      <c r="AH2769" s="8" t="s">
        <v>12292</v>
      </c>
      <c r="AI2769" s="55"/>
    </row>
    <row r="2770" spans="2:35" ht="21" customHeight="1" outlineLevel="4" x14ac:dyDescent="0.2">
      <c r="B2770" s="43">
        <v>2239</v>
      </c>
      <c r="C2770" s="8" t="s">
        <v>12303</v>
      </c>
      <c r="D2770" s="8" t="s">
        <v>12304</v>
      </c>
      <c r="E2770" s="9" t="s">
        <v>12305</v>
      </c>
      <c r="F2770" s="16"/>
      <c r="G2770" s="17" t="s">
        <v>12289</v>
      </c>
      <c r="H2770" s="18">
        <v>20</v>
      </c>
      <c r="I2770" s="19" t="s">
        <v>41</v>
      </c>
      <c r="J2770" s="19"/>
      <c r="K2770" s="19"/>
      <c r="L2770" s="7">
        <v>1</v>
      </c>
      <c r="M2770" s="21">
        <f>447*(1-P3/100)</f>
        <v>447</v>
      </c>
      <c r="N2770" s="15"/>
      <c r="O2770" s="19">
        <f>M2770*N2770</f>
        <v>0</v>
      </c>
      <c r="P2770" s="26">
        <f>0.202*N2770</f>
        <v>0</v>
      </c>
      <c r="Q2770" s="27">
        <f>0.00039*N2770</f>
        <v>0</v>
      </c>
      <c r="R2770" s="28" t="s">
        <v>81</v>
      </c>
      <c r="S2770" s="29" t="s">
        <v>12306</v>
      </c>
      <c r="T2770" s="29" t="s">
        <v>43</v>
      </c>
      <c r="U2770" s="8"/>
      <c r="V2770" s="8" t="s">
        <v>12307</v>
      </c>
      <c r="W2770" s="8" t="s">
        <v>46</v>
      </c>
      <c r="X2770" s="8"/>
      <c r="Y2770" s="8"/>
      <c r="Z2770" s="8" t="str">
        <f>HYPERLINK("https://knigipp.ru/api/getInfo/image/cde6ddf5-fdd4-11f0-a28e-00155d82e908")</f>
        <v>https://knigipp.ru/api/getInfo/image/cde6ddf5-fdd4-11f0-a28e-00155d82e908</v>
      </c>
      <c r="AA2770" s="34">
        <v>16</v>
      </c>
      <c r="AB2770" s="8"/>
      <c r="AC2770" s="8" t="s">
        <v>140</v>
      </c>
      <c r="AD2770" s="8"/>
      <c r="AE2770" s="8"/>
      <c r="AF2770" s="8"/>
      <c r="AG2770" s="8"/>
      <c r="AH2770" s="8" t="s">
        <v>12292</v>
      </c>
      <c r="AI2770" s="55"/>
    </row>
    <row r="2771" spans="2:35" ht="22.95" customHeight="1" outlineLevel="3" x14ac:dyDescent="0.2">
      <c r="B2771" s="74" t="s">
        <v>12308</v>
      </c>
      <c r="C2771" s="74"/>
      <c r="D2771" s="74"/>
    </row>
    <row r="2772" spans="2:35" ht="21" customHeight="1" outlineLevel="4" x14ac:dyDescent="0.2">
      <c r="B2772" s="43">
        <v>2240</v>
      </c>
      <c r="C2772" s="8" t="s">
        <v>12309</v>
      </c>
      <c r="D2772" s="8" t="s">
        <v>12310</v>
      </c>
      <c r="E2772" s="9" t="s">
        <v>12311</v>
      </c>
      <c r="F2772" s="16"/>
      <c r="G2772" s="17" t="s">
        <v>12312</v>
      </c>
      <c r="H2772" s="18">
        <v>20</v>
      </c>
      <c r="I2772" s="19" t="s">
        <v>41</v>
      </c>
      <c r="J2772" s="19"/>
      <c r="K2772" s="19"/>
      <c r="L2772" s="7">
        <v>3</v>
      </c>
      <c r="M2772" s="21">
        <f>187*(1-P3/100)</f>
        <v>187</v>
      </c>
      <c r="N2772" s="15"/>
      <c r="O2772" s="19">
        <f>M2772*N2772</f>
        <v>0</v>
      </c>
      <c r="P2772" s="38">
        <f>0.11*N2772</f>
        <v>0</v>
      </c>
      <c r="Q2772" s="27">
        <f>0.00027*N2772</f>
        <v>0</v>
      </c>
      <c r="R2772" s="28" t="s">
        <v>81</v>
      </c>
      <c r="S2772" s="29" t="s">
        <v>12313</v>
      </c>
      <c r="T2772" s="29" t="s">
        <v>43</v>
      </c>
      <c r="U2772" s="8" t="s">
        <v>12314</v>
      </c>
      <c r="V2772" s="8" t="s">
        <v>12315</v>
      </c>
      <c r="W2772" s="8" t="s">
        <v>46</v>
      </c>
      <c r="X2772" s="8"/>
      <c r="Y2772" s="8"/>
      <c r="Z2772" s="8" t="str">
        <f>HYPERLINK("https://knigipp.ru/api/getInfo/image/44f1e684-b65c-11f0-a286-00155d82e908")</f>
        <v>https://knigipp.ru/api/getInfo/image/44f1e684-b65c-11f0-a286-00155d82e908</v>
      </c>
      <c r="AA2772" s="34">
        <v>10</v>
      </c>
      <c r="AB2772" s="8" t="s">
        <v>47</v>
      </c>
      <c r="AC2772" s="8" t="s">
        <v>140</v>
      </c>
      <c r="AD2772" s="8"/>
      <c r="AE2772" s="8" t="s">
        <v>49</v>
      </c>
      <c r="AF2772" s="8"/>
      <c r="AG2772" s="8"/>
      <c r="AH2772" s="8" t="s">
        <v>12316</v>
      </c>
      <c r="AI2772" s="55"/>
    </row>
    <row r="2773" spans="2:35" ht="21" customHeight="1" outlineLevel="4" x14ac:dyDescent="0.2">
      <c r="B2773" s="43">
        <v>2241</v>
      </c>
      <c r="C2773" s="8" t="s">
        <v>12317</v>
      </c>
      <c r="D2773" s="8" t="s">
        <v>12318</v>
      </c>
      <c r="E2773" s="9" t="s">
        <v>12319</v>
      </c>
      <c r="F2773" s="16"/>
      <c r="G2773" s="17" t="s">
        <v>12312</v>
      </c>
      <c r="H2773" s="18">
        <v>20</v>
      </c>
      <c r="I2773" s="19" t="s">
        <v>41</v>
      </c>
      <c r="J2773" s="19"/>
      <c r="K2773" s="19"/>
      <c r="L2773" s="7">
        <v>3</v>
      </c>
      <c r="M2773" s="21">
        <f>187*(1-P3/100)</f>
        <v>187</v>
      </c>
      <c r="N2773" s="15"/>
      <c r="O2773" s="19">
        <f>M2773*N2773</f>
        <v>0</v>
      </c>
      <c r="P2773" s="38">
        <f>0.11*N2773</f>
        <v>0</v>
      </c>
      <c r="Q2773" s="27">
        <f>0.00027*N2773</f>
        <v>0</v>
      </c>
      <c r="R2773" s="28" t="s">
        <v>81</v>
      </c>
      <c r="S2773" s="29" t="s">
        <v>12320</v>
      </c>
      <c r="T2773" s="29" t="s">
        <v>43</v>
      </c>
      <c r="U2773" s="8" t="s">
        <v>12321</v>
      </c>
      <c r="V2773" s="8" t="s">
        <v>12322</v>
      </c>
      <c r="W2773" s="8" t="s">
        <v>46</v>
      </c>
      <c r="X2773" s="8"/>
      <c r="Y2773" s="8"/>
      <c r="Z2773" s="8" t="str">
        <f>HYPERLINK("https://knigipp.ru/api/getInfo/image/96873237-b65c-11f0-a286-00155d82e908")</f>
        <v>https://knigipp.ru/api/getInfo/image/96873237-b65c-11f0-a286-00155d82e908</v>
      </c>
      <c r="AA2773" s="34">
        <v>10</v>
      </c>
      <c r="AB2773" s="8" t="s">
        <v>47</v>
      </c>
      <c r="AC2773" s="8" t="s">
        <v>140</v>
      </c>
      <c r="AD2773" s="8"/>
      <c r="AE2773" s="8" t="s">
        <v>49</v>
      </c>
      <c r="AF2773" s="8"/>
      <c r="AG2773" s="8"/>
      <c r="AH2773" s="8" t="s">
        <v>12316</v>
      </c>
      <c r="AI2773" s="55"/>
    </row>
    <row r="2774" spans="2:35" ht="21" customHeight="1" outlineLevel="4" x14ac:dyDescent="0.2">
      <c r="B2774" s="43">
        <v>2242</v>
      </c>
      <c r="C2774" s="8" t="s">
        <v>12323</v>
      </c>
      <c r="D2774" s="8" t="s">
        <v>12324</v>
      </c>
      <c r="E2774" s="9" t="s">
        <v>12325</v>
      </c>
      <c r="F2774" s="16"/>
      <c r="G2774" s="17" t="s">
        <v>12312</v>
      </c>
      <c r="H2774" s="18">
        <v>20</v>
      </c>
      <c r="I2774" s="19" t="s">
        <v>41</v>
      </c>
      <c r="J2774" s="19"/>
      <c r="K2774" s="19"/>
      <c r="L2774" s="7">
        <v>3</v>
      </c>
      <c r="M2774" s="21">
        <f>187*(1-P3/100)</f>
        <v>187</v>
      </c>
      <c r="N2774" s="15"/>
      <c r="O2774" s="19">
        <f>M2774*N2774</f>
        <v>0</v>
      </c>
      <c r="P2774" s="26">
        <f>0.113*N2774</f>
        <v>0</v>
      </c>
      <c r="Q2774" s="27">
        <f>0.00017*N2774</f>
        <v>0</v>
      </c>
      <c r="R2774" s="28" t="s">
        <v>81</v>
      </c>
      <c r="S2774" s="29" t="s">
        <v>12326</v>
      </c>
      <c r="T2774" s="29" t="s">
        <v>43</v>
      </c>
      <c r="U2774" s="8" t="s">
        <v>10268</v>
      </c>
      <c r="V2774" s="8" t="s">
        <v>12327</v>
      </c>
      <c r="W2774" s="8" t="s">
        <v>46</v>
      </c>
      <c r="X2774" s="8"/>
      <c r="Y2774" s="8"/>
      <c r="Z2774" s="8" t="str">
        <f>HYPERLINK("https://knigipp.ru/api/getInfo/image/14544b7a-b65c-11f0-a286-00155d82e908")</f>
        <v>https://knigipp.ru/api/getInfo/image/14544b7a-b65c-11f0-a286-00155d82e908</v>
      </c>
      <c r="AA2774" s="34">
        <v>10</v>
      </c>
      <c r="AB2774" s="8" t="s">
        <v>47</v>
      </c>
      <c r="AC2774" s="8" t="s">
        <v>140</v>
      </c>
      <c r="AD2774" s="8"/>
      <c r="AE2774" s="8" t="s">
        <v>49</v>
      </c>
      <c r="AF2774" s="8"/>
      <c r="AG2774" s="8"/>
      <c r="AH2774" s="8" t="s">
        <v>12316</v>
      </c>
      <c r="AI2774" s="55"/>
    </row>
    <row r="2775" spans="2:35" ht="21" customHeight="1" outlineLevel="4" x14ac:dyDescent="0.2">
      <c r="B2775" s="43">
        <v>2243</v>
      </c>
      <c r="C2775" s="8" t="s">
        <v>12328</v>
      </c>
      <c r="D2775" s="8" t="s">
        <v>12329</v>
      </c>
      <c r="E2775" s="9" t="s">
        <v>12330</v>
      </c>
      <c r="F2775" s="16"/>
      <c r="G2775" s="17" t="s">
        <v>12312</v>
      </c>
      <c r="H2775" s="18">
        <v>20</v>
      </c>
      <c r="I2775" s="19" t="s">
        <v>41</v>
      </c>
      <c r="J2775" s="19"/>
      <c r="K2775" s="19"/>
      <c r="L2775" s="7">
        <v>3</v>
      </c>
      <c r="M2775" s="21">
        <f>187*(1-P3/100)</f>
        <v>187</v>
      </c>
      <c r="N2775" s="15"/>
      <c r="O2775" s="19">
        <f>M2775*N2775</f>
        <v>0</v>
      </c>
      <c r="P2775" s="38">
        <f>0.11*N2775</f>
        <v>0</v>
      </c>
      <c r="Q2775" s="27">
        <f>0.00027*N2775</f>
        <v>0</v>
      </c>
      <c r="R2775" s="28" t="s">
        <v>81</v>
      </c>
      <c r="S2775" s="29" t="s">
        <v>12331</v>
      </c>
      <c r="T2775" s="29" t="s">
        <v>43</v>
      </c>
      <c r="U2775" s="8" t="s">
        <v>12107</v>
      </c>
      <c r="V2775" s="8" t="s">
        <v>12332</v>
      </c>
      <c r="W2775" s="8" t="s">
        <v>46</v>
      </c>
      <c r="X2775" s="8"/>
      <c r="Y2775" s="8"/>
      <c r="Z2775" s="8" t="str">
        <f>HYPERLINK("https://knigipp.ru/api/getInfo/image/ccf28ec1-b65b-11f0-a286-00155d82e908")</f>
        <v>https://knigipp.ru/api/getInfo/image/ccf28ec1-b65b-11f0-a286-00155d82e908</v>
      </c>
      <c r="AA2775" s="34">
        <v>10</v>
      </c>
      <c r="AB2775" s="8" t="s">
        <v>47</v>
      </c>
      <c r="AC2775" s="8" t="s">
        <v>140</v>
      </c>
      <c r="AD2775" s="8"/>
      <c r="AE2775" s="8" t="s">
        <v>49</v>
      </c>
      <c r="AF2775" s="8"/>
      <c r="AG2775" s="8"/>
      <c r="AH2775" s="8" t="s">
        <v>12316</v>
      </c>
      <c r="AI2775" s="55"/>
    </row>
    <row r="2776" spans="2:35" ht="22.95" customHeight="1" outlineLevel="3" x14ac:dyDescent="0.2">
      <c r="B2776" s="74" t="s">
        <v>12333</v>
      </c>
      <c r="C2776" s="74"/>
      <c r="D2776" s="74"/>
    </row>
    <row r="2777" spans="2:35" ht="21" customHeight="1" outlineLevel="4" x14ac:dyDescent="0.2">
      <c r="B2777" s="42">
        <v>2244</v>
      </c>
      <c r="C2777" s="5" t="s">
        <v>12334</v>
      </c>
      <c r="D2777" s="5" t="s">
        <v>12335</v>
      </c>
      <c r="E2777" s="6" t="s">
        <v>12336</v>
      </c>
      <c r="F2777" s="10"/>
      <c r="G2777" s="11" t="s">
        <v>12337</v>
      </c>
      <c r="H2777" s="12">
        <v>40</v>
      </c>
      <c r="I2777" s="13" t="s">
        <v>41</v>
      </c>
      <c r="J2777" s="13"/>
      <c r="K2777" s="13"/>
      <c r="L2777" s="4">
        <v>5</v>
      </c>
      <c r="M2777" s="14">
        <f>127*(1-P3/100)</f>
        <v>127</v>
      </c>
      <c r="N2777" s="15"/>
      <c r="O2777" s="13">
        <f>M2777*N2777</f>
        <v>0</v>
      </c>
      <c r="P2777" s="22">
        <f>0.109*N2777</f>
        <v>0</v>
      </c>
      <c r="Q2777" s="23">
        <f>0.00018*N2777</f>
        <v>0</v>
      </c>
      <c r="R2777" s="24"/>
      <c r="S2777" s="25" t="s">
        <v>12338</v>
      </c>
      <c r="T2777" s="25" t="s">
        <v>43</v>
      </c>
      <c r="U2777" s="5"/>
      <c r="V2777" s="5" t="s">
        <v>12339</v>
      </c>
      <c r="W2777" s="5" t="s">
        <v>46</v>
      </c>
      <c r="X2777" s="5"/>
      <c r="Y2777" s="5"/>
      <c r="Z2777" s="5" t="str">
        <f>HYPERLINK("https://knigipp.ru/api/getInfo/image/a2fd7d6e-c4ee-11ef-a268-00155d82e908")</f>
        <v>https://knigipp.ru/api/getInfo/image/a2fd7d6e-c4ee-11ef-a268-00155d82e908</v>
      </c>
      <c r="AA2777" s="33">
        <v>10</v>
      </c>
      <c r="AB2777" s="5" t="s">
        <v>47</v>
      </c>
      <c r="AC2777" s="5" t="s">
        <v>140</v>
      </c>
      <c r="AD2777" s="5"/>
      <c r="AE2777" s="5" t="s">
        <v>49</v>
      </c>
      <c r="AF2777" s="5"/>
      <c r="AG2777" s="5"/>
      <c r="AH2777" s="5" t="s">
        <v>12340</v>
      </c>
    </row>
    <row r="2778" spans="2:35" ht="21" customHeight="1" outlineLevel="4" x14ac:dyDescent="0.2">
      <c r="B2778" s="42">
        <v>2245</v>
      </c>
      <c r="C2778" s="5" t="s">
        <v>12341</v>
      </c>
      <c r="D2778" s="5" t="s">
        <v>12342</v>
      </c>
      <c r="E2778" s="6" t="s">
        <v>12343</v>
      </c>
      <c r="F2778" s="10"/>
      <c r="G2778" s="11" t="s">
        <v>12337</v>
      </c>
      <c r="H2778" s="12">
        <v>40</v>
      </c>
      <c r="I2778" s="13" t="s">
        <v>41</v>
      </c>
      <c r="J2778" s="13"/>
      <c r="K2778" s="13"/>
      <c r="L2778" s="4">
        <v>5</v>
      </c>
      <c r="M2778" s="14">
        <f>127*(1-P3/100)</f>
        <v>127</v>
      </c>
      <c r="N2778" s="15"/>
      <c r="O2778" s="13">
        <f>M2778*N2778</f>
        <v>0</v>
      </c>
      <c r="P2778" s="22">
        <f>0.109*N2778</f>
        <v>0</v>
      </c>
      <c r="Q2778" s="23">
        <f>0.00018*N2778</f>
        <v>0</v>
      </c>
      <c r="R2778" s="24"/>
      <c r="S2778" s="25" t="s">
        <v>12344</v>
      </c>
      <c r="T2778" s="25" t="s">
        <v>43</v>
      </c>
      <c r="U2778" s="5"/>
      <c r="V2778" s="5" t="s">
        <v>12345</v>
      </c>
      <c r="W2778" s="5" t="s">
        <v>46</v>
      </c>
      <c r="X2778" s="5"/>
      <c r="Y2778" s="5"/>
      <c r="Z2778" s="5" t="str">
        <f>HYPERLINK("https://knigipp.ru/api/getInfo/image/8001491a-c4ee-11ef-a268-00155d82e908")</f>
        <v>https://knigipp.ru/api/getInfo/image/8001491a-c4ee-11ef-a268-00155d82e908</v>
      </c>
      <c r="AA2778" s="33">
        <v>10</v>
      </c>
      <c r="AB2778" s="5" t="s">
        <v>47</v>
      </c>
      <c r="AC2778" s="5" t="s">
        <v>140</v>
      </c>
      <c r="AD2778" s="5"/>
      <c r="AE2778" s="5" t="s">
        <v>49</v>
      </c>
      <c r="AF2778" s="5"/>
      <c r="AG2778" s="5"/>
      <c r="AH2778" s="5" t="s">
        <v>12340</v>
      </c>
    </row>
    <row r="2779" spans="2:35" ht="21" customHeight="1" outlineLevel="4" x14ac:dyDescent="0.2">
      <c r="B2779" s="42">
        <v>2246</v>
      </c>
      <c r="C2779" s="5" t="s">
        <v>12346</v>
      </c>
      <c r="D2779" s="5" t="s">
        <v>12347</v>
      </c>
      <c r="E2779" s="6" t="s">
        <v>12348</v>
      </c>
      <c r="F2779" s="10"/>
      <c r="G2779" s="11" t="s">
        <v>12337</v>
      </c>
      <c r="H2779" s="12">
        <v>40</v>
      </c>
      <c r="I2779" s="13" t="s">
        <v>41</v>
      </c>
      <c r="J2779" s="13"/>
      <c r="K2779" s="13"/>
      <c r="L2779" s="4">
        <v>5</v>
      </c>
      <c r="M2779" s="14">
        <f>127*(1-P3/100)</f>
        <v>127</v>
      </c>
      <c r="N2779" s="15"/>
      <c r="O2779" s="13">
        <f>M2779*N2779</f>
        <v>0</v>
      </c>
      <c r="P2779" s="22">
        <f>0.109*N2779</f>
        <v>0</v>
      </c>
      <c r="Q2779" s="23">
        <f>0.00018*N2779</f>
        <v>0</v>
      </c>
      <c r="R2779" s="24"/>
      <c r="S2779" s="25" t="s">
        <v>12349</v>
      </c>
      <c r="T2779" s="25" t="s">
        <v>43</v>
      </c>
      <c r="U2779" s="5"/>
      <c r="V2779" s="5" t="s">
        <v>12350</v>
      </c>
      <c r="W2779" s="5" t="s">
        <v>46</v>
      </c>
      <c r="X2779" s="5"/>
      <c r="Y2779" s="5"/>
      <c r="Z2779" s="5" t="str">
        <f>HYPERLINK("https://knigipp.ru/api/getInfo/image/3013f460-c4ef-11ef-a268-00155d82e908")</f>
        <v>https://knigipp.ru/api/getInfo/image/3013f460-c4ef-11ef-a268-00155d82e908</v>
      </c>
      <c r="AA2779" s="33">
        <v>10</v>
      </c>
      <c r="AB2779" s="5" t="s">
        <v>47</v>
      </c>
      <c r="AC2779" s="5" t="s">
        <v>140</v>
      </c>
      <c r="AD2779" s="5"/>
      <c r="AE2779" s="5" t="s">
        <v>49</v>
      </c>
      <c r="AF2779" s="5"/>
      <c r="AG2779" s="5"/>
      <c r="AH2779" s="5" t="s">
        <v>12340</v>
      </c>
    </row>
    <row r="2780" spans="2:35" ht="21" customHeight="1" outlineLevel="4" x14ac:dyDescent="0.2">
      <c r="B2780" s="42">
        <v>2247</v>
      </c>
      <c r="C2780" s="5" t="s">
        <v>12351</v>
      </c>
      <c r="D2780" s="5" t="s">
        <v>12352</v>
      </c>
      <c r="E2780" s="6" t="s">
        <v>12353</v>
      </c>
      <c r="F2780" s="10"/>
      <c r="G2780" s="11" t="s">
        <v>12337</v>
      </c>
      <c r="H2780" s="12">
        <v>40</v>
      </c>
      <c r="I2780" s="13" t="s">
        <v>41</v>
      </c>
      <c r="J2780" s="13"/>
      <c r="K2780" s="13"/>
      <c r="L2780" s="4">
        <v>5</v>
      </c>
      <c r="M2780" s="14">
        <f>127*(1-P3/100)</f>
        <v>127</v>
      </c>
      <c r="N2780" s="15"/>
      <c r="O2780" s="13">
        <f>M2780*N2780</f>
        <v>0</v>
      </c>
      <c r="P2780" s="22">
        <f>0.109*N2780</f>
        <v>0</v>
      </c>
      <c r="Q2780" s="23">
        <f>0.00018*N2780</f>
        <v>0</v>
      </c>
      <c r="R2780" s="24"/>
      <c r="S2780" s="25" t="s">
        <v>12354</v>
      </c>
      <c r="T2780" s="25" t="s">
        <v>43</v>
      </c>
      <c r="U2780" s="5"/>
      <c r="V2780" s="5" t="s">
        <v>12355</v>
      </c>
      <c r="W2780" s="5" t="s">
        <v>46</v>
      </c>
      <c r="X2780" s="5"/>
      <c r="Y2780" s="5"/>
      <c r="Z2780" s="5" t="str">
        <f>HYPERLINK("https://knigipp.ru/api/getInfo/image/c5a3c8fe-c4ee-11ef-a268-00155d82e908")</f>
        <v>https://knigipp.ru/api/getInfo/image/c5a3c8fe-c4ee-11ef-a268-00155d82e908</v>
      </c>
      <c r="AA2780" s="33">
        <v>10</v>
      </c>
      <c r="AB2780" s="5" t="s">
        <v>47</v>
      </c>
      <c r="AC2780" s="5" t="s">
        <v>140</v>
      </c>
      <c r="AD2780" s="5"/>
      <c r="AE2780" s="5" t="s">
        <v>49</v>
      </c>
      <c r="AF2780" s="5"/>
      <c r="AG2780" s="5"/>
      <c r="AH2780" s="5" t="s">
        <v>12340</v>
      </c>
    </row>
    <row r="2781" spans="2:35" ht="22.95" customHeight="1" outlineLevel="3" x14ac:dyDescent="0.2">
      <c r="B2781" s="74" t="s">
        <v>12356</v>
      </c>
      <c r="C2781" s="74"/>
      <c r="D2781" s="74"/>
    </row>
    <row r="2782" spans="2:35" ht="21" customHeight="1" outlineLevel="4" x14ac:dyDescent="0.2">
      <c r="B2782" s="42">
        <v>2248</v>
      </c>
      <c r="C2782" s="5" t="s">
        <v>12357</v>
      </c>
      <c r="D2782" s="5" t="s">
        <v>12358</v>
      </c>
      <c r="E2782" s="6" t="s">
        <v>12359</v>
      </c>
      <c r="F2782" s="10"/>
      <c r="G2782" s="11" t="s">
        <v>12360</v>
      </c>
      <c r="H2782" s="12">
        <v>10</v>
      </c>
      <c r="I2782" s="13" t="s">
        <v>41</v>
      </c>
      <c r="J2782" s="13"/>
      <c r="K2782" s="13"/>
      <c r="L2782" s="4">
        <v>2</v>
      </c>
      <c r="M2782" s="14">
        <f>380.45*(1-P3/100)</f>
        <v>380.45</v>
      </c>
      <c r="N2782" s="15"/>
      <c r="O2782" s="13">
        <f>M2782*N2782</f>
        <v>0</v>
      </c>
      <c r="P2782" s="22">
        <f>0.451*N2782</f>
        <v>0</v>
      </c>
      <c r="Q2782" s="23">
        <f>0.00073*N2782</f>
        <v>0</v>
      </c>
      <c r="R2782" s="24"/>
      <c r="S2782" s="25" t="s">
        <v>12361</v>
      </c>
      <c r="T2782" s="25" t="s">
        <v>43</v>
      </c>
      <c r="U2782" s="5"/>
      <c r="V2782" s="5"/>
      <c r="W2782" s="5" t="s">
        <v>46</v>
      </c>
      <c r="X2782" s="5" t="s">
        <v>400</v>
      </c>
      <c r="Y2782" s="5"/>
      <c r="Z2782" s="5" t="str">
        <f>HYPERLINK("https://knigipp.ru/api/getInfo/image/9fafd2db-ce1d-11e8-a20d-ac1f6b442184")</f>
        <v>https://knigipp.ru/api/getInfo/image/9fafd2db-ce1d-11e8-a20d-ac1f6b442184</v>
      </c>
      <c r="AA2782" s="33">
        <v>14</v>
      </c>
      <c r="AB2782" s="5" t="s">
        <v>47</v>
      </c>
      <c r="AC2782" s="5" t="s">
        <v>140</v>
      </c>
      <c r="AD2782" s="5"/>
      <c r="AE2782" s="5" t="s">
        <v>49</v>
      </c>
      <c r="AF2782" s="5"/>
      <c r="AG2782" s="5"/>
      <c r="AH2782" s="5" t="s">
        <v>12362</v>
      </c>
    </row>
    <row r="2783" spans="2:35" ht="21" customHeight="1" outlineLevel="4" x14ac:dyDescent="0.2">
      <c r="B2783" s="42">
        <v>2249</v>
      </c>
      <c r="C2783" s="5" t="s">
        <v>12363</v>
      </c>
      <c r="D2783" s="5" t="s">
        <v>12364</v>
      </c>
      <c r="E2783" s="6" t="s">
        <v>12365</v>
      </c>
      <c r="F2783" s="10"/>
      <c r="G2783" s="11" t="s">
        <v>12366</v>
      </c>
      <c r="H2783" s="12">
        <v>10</v>
      </c>
      <c r="I2783" s="13" t="s">
        <v>261</v>
      </c>
      <c r="J2783" s="13"/>
      <c r="K2783" s="13"/>
      <c r="L2783" s="4">
        <v>2</v>
      </c>
      <c r="M2783" s="14">
        <f>380.45*(1-P3/100)</f>
        <v>380.45</v>
      </c>
      <c r="N2783" s="15"/>
      <c r="O2783" s="13">
        <f>M2783*N2783</f>
        <v>0</v>
      </c>
      <c r="P2783" s="22">
        <f>0.451*N2783</f>
        <v>0</v>
      </c>
      <c r="Q2783" s="23">
        <f>0.00073*N2783</f>
        <v>0</v>
      </c>
      <c r="R2783" s="24"/>
      <c r="S2783" s="25" t="s">
        <v>12367</v>
      </c>
      <c r="T2783" s="25" t="s">
        <v>43</v>
      </c>
      <c r="U2783" s="5"/>
      <c r="V2783" s="5"/>
      <c r="W2783" s="5" t="s">
        <v>46</v>
      </c>
      <c r="X2783" s="5"/>
      <c r="Y2783" s="5"/>
      <c r="Z2783" s="5" t="str">
        <f>HYPERLINK("https://knigipp.ru/api/getInfo/image/88ea11ca-d9af-11eb-a209-ac1f6b442185")</f>
        <v>https://knigipp.ru/api/getInfo/image/88ea11ca-d9af-11eb-a209-ac1f6b442185</v>
      </c>
      <c r="AA2783" s="33">
        <v>14</v>
      </c>
      <c r="AB2783" s="5" t="s">
        <v>47</v>
      </c>
      <c r="AC2783" s="5" t="s">
        <v>140</v>
      </c>
      <c r="AD2783" s="5"/>
      <c r="AE2783" s="5" t="s">
        <v>49</v>
      </c>
      <c r="AF2783" s="5"/>
      <c r="AG2783" s="5"/>
      <c r="AH2783" s="5" t="s">
        <v>12362</v>
      </c>
    </row>
    <row r="2784" spans="2:35" ht="22.95" customHeight="1" outlineLevel="3" x14ac:dyDescent="0.2">
      <c r="B2784" s="74" t="s">
        <v>12368</v>
      </c>
      <c r="C2784" s="74"/>
      <c r="D2784" s="74"/>
    </row>
    <row r="2785" spans="2:34" ht="21" customHeight="1" outlineLevel="4" x14ac:dyDescent="0.2">
      <c r="B2785" s="42">
        <v>2250</v>
      </c>
      <c r="C2785" s="5" t="s">
        <v>12369</v>
      </c>
      <c r="D2785" s="5" t="s">
        <v>12370</v>
      </c>
      <c r="E2785" s="6" t="s">
        <v>12371</v>
      </c>
      <c r="F2785" s="10"/>
      <c r="G2785" s="11" t="s">
        <v>12372</v>
      </c>
      <c r="H2785" s="12">
        <v>5</v>
      </c>
      <c r="I2785" s="13" t="s">
        <v>41</v>
      </c>
      <c r="J2785" s="13"/>
      <c r="K2785" s="13"/>
      <c r="L2785" s="4">
        <v>1</v>
      </c>
      <c r="M2785" s="14">
        <f>599*(1-P3/100)</f>
        <v>599</v>
      </c>
      <c r="N2785" s="15"/>
      <c r="O2785" s="13">
        <f>M2785*N2785</f>
        <v>0</v>
      </c>
      <c r="P2785" s="13">
        <v>0</v>
      </c>
      <c r="Q2785" s="13">
        <v>0</v>
      </c>
      <c r="R2785" s="24"/>
      <c r="S2785" s="25" t="s">
        <v>12373</v>
      </c>
      <c r="T2785" s="25" t="s">
        <v>43</v>
      </c>
      <c r="U2785" s="5" t="s">
        <v>336</v>
      </c>
      <c r="V2785" s="5" t="s">
        <v>12374</v>
      </c>
      <c r="W2785" s="5" t="s">
        <v>46</v>
      </c>
      <c r="X2785" s="5" t="s">
        <v>12375</v>
      </c>
      <c r="Y2785" s="5"/>
      <c r="Z2785" s="5" t="str">
        <f>HYPERLINK("https://knigipp.ru/api/getInfo/image/1ada9e92-045b-11ef-a25d-00155d82e908")</f>
        <v>https://knigipp.ru/api/getInfo/image/1ada9e92-045b-11ef-a25d-00155d82e908</v>
      </c>
      <c r="AA2785" s="33">
        <v>10</v>
      </c>
      <c r="AB2785" s="5" t="s">
        <v>47</v>
      </c>
      <c r="AC2785" s="5" t="s">
        <v>140</v>
      </c>
      <c r="AD2785" s="5"/>
      <c r="AE2785" s="5" t="s">
        <v>49</v>
      </c>
      <c r="AF2785" s="5"/>
      <c r="AG2785" s="5"/>
      <c r="AH2785" s="5" t="s">
        <v>12376</v>
      </c>
    </row>
    <row r="2786" spans="2:34" ht="21" customHeight="1" outlineLevel="4" x14ac:dyDescent="0.2">
      <c r="B2786" s="42">
        <v>2251</v>
      </c>
      <c r="C2786" s="5" t="s">
        <v>12377</v>
      </c>
      <c r="D2786" s="5" t="s">
        <v>12378</v>
      </c>
      <c r="E2786" s="6" t="s">
        <v>12379</v>
      </c>
      <c r="F2786" s="10"/>
      <c r="G2786" s="11" t="s">
        <v>12380</v>
      </c>
      <c r="H2786" s="12">
        <v>10</v>
      </c>
      <c r="I2786" s="13" t="s">
        <v>261</v>
      </c>
      <c r="J2786" s="13"/>
      <c r="K2786" s="13"/>
      <c r="L2786" s="4">
        <v>2</v>
      </c>
      <c r="M2786" s="14">
        <f>299*(1-P3/100)</f>
        <v>299</v>
      </c>
      <c r="N2786" s="15"/>
      <c r="O2786" s="13">
        <f>M2786*N2786</f>
        <v>0</v>
      </c>
      <c r="P2786" s="22">
        <f>0.165*N2786</f>
        <v>0</v>
      </c>
      <c r="Q2786" s="23">
        <f>0.00038*N2786</f>
        <v>0</v>
      </c>
      <c r="R2786" s="24"/>
      <c r="S2786" s="25" t="s">
        <v>12381</v>
      </c>
      <c r="T2786" s="25" t="s">
        <v>43</v>
      </c>
      <c r="U2786" s="5"/>
      <c r="V2786" s="5" t="s">
        <v>12382</v>
      </c>
      <c r="W2786" s="5" t="s">
        <v>46</v>
      </c>
      <c r="X2786" s="5"/>
      <c r="Y2786" s="5"/>
      <c r="Z2786" s="5" t="str">
        <f>HYPERLINK("https://knigipp.ru/api/getInfo/image/78070409-22b5-11ec-a20f-ac1f6b442185")</f>
        <v>https://knigipp.ru/api/getInfo/image/78070409-22b5-11ec-a20f-ac1f6b442185</v>
      </c>
      <c r="AA2786" s="33">
        <v>10</v>
      </c>
      <c r="AB2786" s="5"/>
      <c r="AC2786" s="5" t="s">
        <v>140</v>
      </c>
      <c r="AD2786" s="5"/>
      <c r="AE2786" s="5" t="s">
        <v>49</v>
      </c>
      <c r="AF2786" s="5"/>
      <c r="AG2786" s="5"/>
      <c r="AH2786" s="5" t="s">
        <v>12383</v>
      </c>
    </row>
    <row r="2787" spans="2:34" ht="21" customHeight="1" outlineLevel="4" x14ac:dyDescent="0.2">
      <c r="B2787" s="42">
        <v>2252</v>
      </c>
      <c r="C2787" s="5" t="s">
        <v>12384</v>
      </c>
      <c r="D2787" s="5" t="s">
        <v>12385</v>
      </c>
      <c r="E2787" s="6" t="s">
        <v>12386</v>
      </c>
      <c r="F2787" s="10"/>
      <c r="G2787" s="11" t="s">
        <v>12380</v>
      </c>
      <c r="H2787" s="12">
        <v>10</v>
      </c>
      <c r="I2787" s="13" t="s">
        <v>261</v>
      </c>
      <c r="J2787" s="13"/>
      <c r="K2787" s="13"/>
      <c r="L2787" s="4">
        <v>2</v>
      </c>
      <c r="M2787" s="14">
        <f>299*(1-P3/100)</f>
        <v>299</v>
      </c>
      <c r="N2787" s="15"/>
      <c r="O2787" s="13">
        <f>M2787*N2787</f>
        <v>0</v>
      </c>
      <c r="P2787" s="22">
        <f>0.166*N2787</f>
        <v>0</v>
      </c>
      <c r="Q2787" s="23">
        <f>0.00035*N2787</f>
        <v>0</v>
      </c>
      <c r="R2787" s="24"/>
      <c r="S2787" s="25" t="s">
        <v>12387</v>
      </c>
      <c r="T2787" s="25" t="s">
        <v>43</v>
      </c>
      <c r="U2787" s="5"/>
      <c r="V2787" s="5" t="s">
        <v>12388</v>
      </c>
      <c r="W2787" s="5" t="s">
        <v>46</v>
      </c>
      <c r="X2787" s="5"/>
      <c r="Y2787" s="5"/>
      <c r="Z2787" s="5" t="str">
        <f>HYPERLINK("https://knigipp.ru/api/getInfo/image/58f96f47-22b7-11ec-a20f-ac1f6b442185")</f>
        <v>https://knigipp.ru/api/getInfo/image/58f96f47-22b7-11ec-a20f-ac1f6b442185</v>
      </c>
      <c r="AA2787" s="33">
        <v>10</v>
      </c>
      <c r="AB2787" s="5"/>
      <c r="AC2787" s="5" t="s">
        <v>140</v>
      </c>
      <c r="AD2787" s="5"/>
      <c r="AE2787" s="5" t="s">
        <v>49</v>
      </c>
      <c r="AF2787" s="5"/>
      <c r="AG2787" s="5"/>
      <c r="AH2787" s="5" t="s">
        <v>12383</v>
      </c>
    </row>
    <row r="2788" spans="2:34" ht="22.95" customHeight="1" outlineLevel="3" x14ac:dyDescent="0.2">
      <c r="B2788" s="74" t="s">
        <v>12389</v>
      </c>
      <c r="C2788" s="74"/>
      <c r="D2788" s="74"/>
    </row>
    <row r="2789" spans="2:34" ht="21" customHeight="1" outlineLevel="4" x14ac:dyDescent="0.2">
      <c r="B2789" s="42">
        <v>2253</v>
      </c>
      <c r="C2789" s="5" t="s">
        <v>12390</v>
      </c>
      <c r="D2789" s="5" t="s">
        <v>12391</v>
      </c>
      <c r="E2789" s="6" t="s">
        <v>12392</v>
      </c>
      <c r="F2789" s="10"/>
      <c r="G2789" s="11" t="s">
        <v>12393</v>
      </c>
      <c r="H2789" s="12">
        <v>72</v>
      </c>
      <c r="I2789" s="13" t="s">
        <v>41</v>
      </c>
      <c r="J2789" s="13"/>
      <c r="K2789" s="13"/>
      <c r="L2789" s="4">
        <v>4</v>
      </c>
      <c r="M2789" s="14">
        <f>179*(1-P3/100)</f>
        <v>179</v>
      </c>
      <c r="N2789" s="15"/>
      <c r="O2789" s="13">
        <f>M2789*N2789</f>
        <v>0</v>
      </c>
      <c r="P2789" s="32">
        <f>0.07*N2789</f>
        <v>0</v>
      </c>
      <c r="Q2789" s="23">
        <f>0.00014*N2789</f>
        <v>0</v>
      </c>
      <c r="R2789" s="24"/>
      <c r="S2789" s="25" t="s">
        <v>12394</v>
      </c>
      <c r="T2789" s="25" t="s">
        <v>43</v>
      </c>
      <c r="U2789" s="5"/>
      <c r="V2789" s="5"/>
      <c r="W2789" s="5" t="s">
        <v>46</v>
      </c>
      <c r="X2789" s="5"/>
      <c r="Y2789" s="5"/>
      <c r="Z2789" s="5" t="str">
        <f>HYPERLINK("https://knigipp.ru/api/getInfo/image/a92d778a-7877-11ee-a248-00155d82e902")</f>
        <v>https://knigipp.ru/api/getInfo/image/a92d778a-7877-11ee-a248-00155d82e902</v>
      </c>
      <c r="AA2789" s="33">
        <v>10</v>
      </c>
      <c r="AB2789" s="5" t="s">
        <v>47</v>
      </c>
      <c r="AC2789" s="5" t="s">
        <v>140</v>
      </c>
      <c r="AD2789" s="5"/>
      <c r="AE2789" s="5" t="s">
        <v>49</v>
      </c>
      <c r="AF2789" s="5"/>
      <c r="AG2789" s="5"/>
      <c r="AH2789" s="5" t="s">
        <v>12395</v>
      </c>
    </row>
    <row r="2790" spans="2:34" ht="21" customHeight="1" outlineLevel="4" x14ac:dyDescent="0.2">
      <c r="B2790" s="42">
        <v>2254</v>
      </c>
      <c r="C2790" s="5" t="s">
        <v>12396</v>
      </c>
      <c r="D2790" s="5" t="s">
        <v>12397</v>
      </c>
      <c r="E2790" s="6" t="s">
        <v>12398</v>
      </c>
      <c r="F2790" s="10"/>
      <c r="G2790" s="11" t="s">
        <v>12399</v>
      </c>
      <c r="H2790" s="12">
        <v>72</v>
      </c>
      <c r="I2790" s="13" t="s">
        <v>371</v>
      </c>
      <c r="J2790" s="13"/>
      <c r="K2790" s="13"/>
      <c r="L2790" s="4">
        <v>4</v>
      </c>
      <c r="M2790" s="14">
        <f>179*(1-P3/100)</f>
        <v>179</v>
      </c>
      <c r="N2790" s="15"/>
      <c r="O2790" s="13">
        <f>M2790*N2790</f>
        <v>0</v>
      </c>
      <c r="P2790" s="32">
        <f>0.07*N2790</f>
        <v>0</v>
      </c>
      <c r="Q2790" s="23">
        <f>0.00014*N2790</f>
        <v>0</v>
      </c>
      <c r="R2790" s="24"/>
      <c r="S2790" s="25" t="s">
        <v>12400</v>
      </c>
      <c r="T2790" s="25" t="s">
        <v>43</v>
      </c>
      <c r="U2790" s="5"/>
      <c r="V2790" s="5"/>
      <c r="W2790" s="5" t="s">
        <v>46</v>
      </c>
      <c r="X2790" s="5"/>
      <c r="Y2790" s="5"/>
      <c r="Z2790" s="5" t="str">
        <f>HYPERLINK("https://knigipp.ru/api/getInfo/image/f9416916-a3b8-11ed-a22f-00155d82e902")</f>
        <v>https://knigipp.ru/api/getInfo/image/f9416916-a3b8-11ed-a22f-00155d82e902</v>
      </c>
      <c r="AA2790" s="33">
        <v>10</v>
      </c>
      <c r="AB2790" s="5" t="s">
        <v>47</v>
      </c>
      <c r="AC2790" s="5" t="s">
        <v>140</v>
      </c>
      <c r="AD2790" s="5"/>
      <c r="AE2790" s="5" t="s">
        <v>49</v>
      </c>
      <c r="AF2790" s="5"/>
      <c r="AG2790" s="5"/>
      <c r="AH2790" s="5" t="s">
        <v>12395</v>
      </c>
    </row>
    <row r="2791" spans="2:34" ht="21" customHeight="1" outlineLevel="4" x14ac:dyDescent="0.2">
      <c r="B2791" s="42">
        <v>2255</v>
      </c>
      <c r="C2791" s="5" t="s">
        <v>12401</v>
      </c>
      <c r="D2791" s="5" t="s">
        <v>12402</v>
      </c>
      <c r="E2791" s="6" t="s">
        <v>12403</v>
      </c>
      <c r="F2791" s="10"/>
      <c r="G2791" s="11" t="s">
        <v>12393</v>
      </c>
      <c r="H2791" s="12">
        <v>72</v>
      </c>
      <c r="I2791" s="13" t="s">
        <v>41</v>
      </c>
      <c r="J2791" s="13"/>
      <c r="K2791" s="13"/>
      <c r="L2791" s="4">
        <v>4</v>
      </c>
      <c r="M2791" s="14">
        <f>179*(1-P3/100)</f>
        <v>179</v>
      </c>
      <c r="N2791" s="15"/>
      <c r="O2791" s="13">
        <f>M2791*N2791</f>
        <v>0</v>
      </c>
      <c r="P2791" s="32">
        <f>0.07*N2791</f>
        <v>0</v>
      </c>
      <c r="Q2791" s="23">
        <f>0.00014*N2791</f>
        <v>0</v>
      </c>
      <c r="R2791" s="24"/>
      <c r="S2791" s="25" t="s">
        <v>12404</v>
      </c>
      <c r="T2791" s="25" t="s">
        <v>43</v>
      </c>
      <c r="U2791" s="5"/>
      <c r="V2791" s="5"/>
      <c r="W2791" s="5" t="s">
        <v>46</v>
      </c>
      <c r="X2791" s="5"/>
      <c r="Y2791" s="5"/>
      <c r="Z2791" s="5" t="str">
        <f>HYPERLINK("https://knigipp.ru/api/getInfo/image/f7cf472b-7877-11ee-a248-00155d82e902")</f>
        <v>https://knigipp.ru/api/getInfo/image/f7cf472b-7877-11ee-a248-00155d82e902</v>
      </c>
      <c r="AA2791" s="33">
        <v>10</v>
      </c>
      <c r="AB2791" s="5" t="s">
        <v>47</v>
      </c>
      <c r="AC2791" s="5" t="s">
        <v>140</v>
      </c>
      <c r="AD2791" s="5"/>
      <c r="AE2791" s="5" t="s">
        <v>49</v>
      </c>
      <c r="AF2791" s="5"/>
      <c r="AG2791" s="5"/>
      <c r="AH2791" s="5" t="s">
        <v>12395</v>
      </c>
    </row>
    <row r="2792" spans="2:34" ht="21" customHeight="1" outlineLevel="4" x14ac:dyDescent="0.2">
      <c r="B2792" s="42">
        <v>2256</v>
      </c>
      <c r="C2792" s="5" t="s">
        <v>12405</v>
      </c>
      <c r="D2792" s="5" t="s">
        <v>12406</v>
      </c>
      <c r="E2792" s="6" t="s">
        <v>12407</v>
      </c>
      <c r="F2792" s="10"/>
      <c r="G2792" s="11" t="s">
        <v>12393</v>
      </c>
      <c r="H2792" s="12">
        <v>72</v>
      </c>
      <c r="I2792" s="13" t="s">
        <v>371</v>
      </c>
      <c r="J2792" s="13"/>
      <c r="K2792" s="13"/>
      <c r="L2792" s="4">
        <v>4</v>
      </c>
      <c r="M2792" s="14">
        <f>179*(1-P3/100)</f>
        <v>179</v>
      </c>
      <c r="N2792" s="15"/>
      <c r="O2792" s="13">
        <f>M2792*N2792</f>
        <v>0</v>
      </c>
      <c r="P2792" s="32">
        <f>0.07*N2792</f>
        <v>0</v>
      </c>
      <c r="Q2792" s="23">
        <f>0.00014*N2792</f>
        <v>0</v>
      </c>
      <c r="R2792" s="24"/>
      <c r="S2792" s="25" t="s">
        <v>12408</v>
      </c>
      <c r="T2792" s="25" t="s">
        <v>43</v>
      </c>
      <c r="U2792" s="5"/>
      <c r="V2792" s="5"/>
      <c r="W2792" s="5" t="s">
        <v>46</v>
      </c>
      <c r="X2792" s="5"/>
      <c r="Y2792" s="5"/>
      <c r="Z2792" s="5" t="str">
        <f>HYPERLINK("https://knigipp.ru/api/getInfo/image/548acda8-7878-11ee-a248-00155d82e902")</f>
        <v>https://knigipp.ru/api/getInfo/image/548acda8-7878-11ee-a248-00155d82e902</v>
      </c>
      <c r="AA2792" s="33">
        <v>10</v>
      </c>
      <c r="AB2792" s="5" t="s">
        <v>47</v>
      </c>
      <c r="AC2792" s="5" t="s">
        <v>140</v>
      </c>
      <c r="AD2792" s="5"/>
      <c r="AE2792" s="5" t="s">
        <v>49</v>
      </c>
      <c r="AF2792" s="5"/>
      <c r="AG2792" s="5"/>
      <c r="AH2792" s="5" t="s">
        <v>12395</v>
      </c>
    </row>
    <row r="2793" spans="2:34" ht="22.95" customHeight="1" outlineLevel="2" x14ac:dyDescent="0.2">
      <c r="B2793" s="73" t="s">
        <v>12409</v>
      </c>
      <c r="C2793" s="73"/>
      <c r="D2793" s="73"/>
    </row>
    <row r="2794" spans="2:34" ht="22.95" customHeight="1" outlineLevel="3" x14ac:dyDescent="0.2">
      <c r="B2794" s="74" t="s">
        <v>12410</v>
      </c>
      <c r="C2794" s="74"/>
      <c r="D2794" s="74"/>
    </row>
    <row r="2795" spans="2:34" ht="21" customHeight="1" outlineLevel="4" x14ac:dyDescent="0.2">
      <c r="B2795" s="42">
        <v>2257</v>
      </c>
      <c r="C2795" s="5" t="s">
        <v>12411</v>
      </c>
      <c r="D2795" s="5" t="s">
        <v>12412</v>
      </c>
      <c r="E2795" s="6" t="s">
        <v>12413</v>
      </c>
      <c r="F2795" s="10"/>
      <c r="G2795" s="11" t="s">
        <v>12414</v>
      </c>
      <c r="H2795" s="12">
        <v>40</v>
      </c>
      <c r="I2795" s="13" t="s">
        <v>371</v>
      </c>
      <c r="J2795" s="13"/>
      <c r="K2795" s="13"/>
      <c r="L2795" s="4">
        <v>7</v>
      </c>
      <c r="M2795" s="14">
        <f>97.2*(1-P3/100)</f>
        <v>97.2</v>
      </c>
      <c r="N2795" s="15"/>
      <c r="O2795" s="13">
        <f>M2795*N2795</f>
        <v>0</v>
      </c>
      <c r="P2795" s="22">
        <f>0.105*N2795</f>
        <v>0</v>
      </c>
      <c r="Q2795" s="23">
        <f>0.00026*N2795</f>
        <v>0</v>
      </c>
      <c r="R2795" s="24"/>
      <c r="S2795" s="25" t="s">
        <v>12415</v>
      </c>
      <c r="T2795" s="25" t="s">
        <v>43</v>
      </c>
      <c r="U2795" s="5" t="s">
        <v>12416</v>
      </c>
      <c r="V2795" s="5"/>
      <c r="W2795" s="5" t="s">
        <v>46</v>
      </c>
      <c r="X2795" s="5" t="s">
        <v>10425</v>
      </c>
      <c r="Y2795" s="5"/>
      <c r="Z2795" s="5"/>
      <c r="AA2795" s="33">
        <v>10</v>
      </c>
      <c r="AB2795" s="5"/>
      <c r="AC2795" s="5" t="s">
        <v>140</v>
      </c>
      <c r="AD2795" s="5"/>
      <c r="AE2795" s="5" t="s">
        <v>49</v>
      </c>
      <c r="AF2795" s="5"/>
      <c r="AG2795" s="5" t="s">
        <v>12417</v>
      </c>
      <c r="AH2795" s="5" t="s">
        <v>12418</v>
      </c>
    </row>
    <row r="2796" spans="2:34" ht="22.95" customHeight="1" outlineLevel="3" x14ac:dyDescent="0.2">
      <c r="B2796" s="74" t="s">
        <v>12419</v>
      </c>
      <c r="C2796" s="74"/>
      <c r="D2796" s="74"/>
    </row>
    <row r="2797" spans="2:34" ht="21" customHeight="1" outlineLevel="4" x14ac:dyDescent="0.2">
      <c r="B2797" s="42">
        <v>2258</v>
      </c>
      <c r="C2797" s="5" t="s">
        <v>12420</v>
      </c>
      <c r="D2797" s="5" t="s">
        <v>12421</v>
      </c>
      <c r="E2797" s="6" t="s">
        <v>12422</v>
      </c>
      <c r="F2797" s="10"/>
      <c r="G2797" s="11" t="s">
        <v>12423</v>
      </c>
      <c r="H2797" s="12">
        <v>40</v>
      </c>
      <c r="I2797" s="13" t="s">
        <v>371</v>
      </c>
      <c r="J2797" s="13"/>
      <c r="K2797" s="13"/>
      <c r="L2797" s="4">
        <v>4</v>
      </c>
      <c r="M2797" s="14">
        <f>170.94*(1-P3/100)</f>
        <v>170.94</v>
      </c>
      <c r="N2797" s="15"/>
      <c r="O2797" s="13">
        <f>M2797*N2797</f>
        <v>0</v>
      </c>
      <c r="P2797" s="32">
        <f>0.13*N2797</f>
        <v>0</v>
      </c>
      <c r="Q2797" s="30">
        <f>0.0002*N2797</f>
        <v>0</v>
      </c>
      <c r="R2797" s="24"/>
      <c r="S2797" s="25" t="s">
        <v>12424</v>
      </c>
      <c r="T2797" s="25" t="s">
        <v>43</v>
      </c>
      <c r="U2797" s="5"/>
      <c r="V2797" s="5"/>
      <c r="W2797" s="5" t="s">
        <v>46</v>
      </c>
      <c r="X2797" s="5"/>
      <c r="Y2797" s="5"/>
      <c r="Z2797" s="5" t="str">
        <f>HYPERLINK("https://knigipp.ru/api/getInfo/image/58ef2145-111d-11ea-a237-ac1f6b442184")</f>
        <v>https://knigipp.ru/api/getInfo/image/58ef2145-111d-11ea-a237-ac1f6b442184</v>
      </c>
      <c r="AA2797" s="33">
        <v>10</v>
      </c>
      <c r="AB2797" s="5"/>
      <c r="AC2797" s="5" t="s">
        <v>140</v>
      </c>
      <c r="AD2797" s="5"/>
      <c r="AE2797" s="5" t="s">
        <v>49</v>
      </c>
      <c r="AF2797" s="5"/>
      <c r="AG2797" s="5"/>
      <c r="AH2797" s="5" t="s">
        <v>12425</v>
      </c>
    </row>
    <row r="2798" spans="2:34" ht="22.95" customHeight="1" outlineLevel="1" x14ac:dyDescent="0.2">
      <c r="B2798" s="72" t="s">
        <v>12426</v>
      </c>
      <c r="C2798" s="72"/>
      <c r="D2798" s="72"/>
    </row>
    <row r="2799" spans="2:34" ht="21" customHeight="1" outlineLevel="2" x14ac:dyDescent="0.2">
      <c r="B2799" s="42">
        <v>2259</v>
      </c>
      <c r="C2799" s="5" t="s">
        <v>12427</v>
      </c>
      <c r="D2799" s="5" t="s">
        <v>12428</v>
      </c>
      <c r="E2799" s="6" t="s">
        <v>12429</v>
      </c>
      <c r="F2799" s="10"/>
      <c r="G2799" s="11" t="s">
        <v>12430</v>
      </c>
      <c r="H2799" s="12">
        <v>10</v>
      </c>
      <c r="I2799" s="13" t="s">
        <v>371</v>
      </c>
      <c r="J2799" s="13"/>
      <c r="K2799" s="13"/>
      <c r="L2799" s="4">
        <v>1</v>
      </c>
      <c r="M2799" s="14">
        <f>350*(1-P3/100)</f>
        <v>350</v>
      </c>
      <c r="N2799" s="15"/>
      <c r="O2799" s="13">
        <f>M2799*N2799</f>
        <v>0</v>
      </c>
      <c r="P2799" s="36">
        <f>0.5*N2799</f>
        <v>0</v>
      </c>
      <c r="Q2799" s="23">
        <f>0.00067*N2799</f>
        <v>0</v>
      </c>
      <c r="R2799" s="24"/>
      <c r="S2799" s="25" t="s">
        <v>12431</v>
      </c>
      <c r="T2799" s="25" t="s">
        <v>43</v>
      </c>
      <c r="U2799" s="5" t="s">
        <v>12432</v>
      </c>
      <c r="V2799" s="5"/>
      <c r="W2799" s="5" t="s">
        <v>463</v>
      </c>
      <c r="X2799" s="5"/>
      <c r="Y2799" s="5"/>
      <c r="Z2799" s="5"/>
      <c r="AA2799" s="33">
        <v>480</v>
      </c>
      <c r="AB2799" s="5"/>
      <c r="AC2799" s="5" t="s">
        <v>86</v>
      </c>
      <c r="AD2799" s="5"/>
      <c r="AE2799" s="5" t="s">
        <v>49</v>
      </c>
      <c r="AF2799" s="5"/>
      <c r="AG2799" s="5"/>
      <c r="AH2799" s="5" t="s">
        <v>12433</v>
      </c>
    </row>
  </sheetData>
  <autoFilter ref="B12:AI2799"/>
  <mergeCells count="565">
    <mergeCell ref="B3:C3"/>
    <mergeCell ref="N3:O3"/>
    <mergeCell ref="C4:D4"/>
    <mergeCell ref="B5:C5"/>
    <mergeCell ref="B25:D25"/>
    <mergeCell ref="B29:D29"/>
    <mergeCell ref="B23:D23"/>
    <mergeCell ref="B14:D14"/>
    <mergeCell ref="B15:D15"/>
    <mergeCell ref="B16:D16"/>
    <mergeCell ref="B17:D17"/>
    <mergeCell ref="B7:C7"/>
    <mergeCell ref="B8:C8"/>
    <mergeCell ref="B9:C9"/>
    <mergeCell ref="B62:D62"/>
    <mergeCell ref="B66:D66"/>
    <mergeCell ref="B55:D55"/>
    <mergeCell ref="B56:D56"/>
    <mergeCell ref="B60:D60"/>
    <mergeCell ref="B51:D51"/>
    <mergeCell ref="B42:D42"/>
    <mergeCell ref="B32:D32"/>
    <mergeCell ref="B34:D34"/>
    <mergeCell ref="B35:D35"/>
    <mergeCell ref="B96:D96"/>
    <mergeCell ref="B85:D85"/>
    <mergeCell ref="B86:D86"/>
    <mergeCell ref="B88:D88"/>
    <mergeCell ref="B80:D80"/>
    <mergeCell ref="B82:D82"/>
    <mergeCell ref="B83:D83"/>
    <mergeCell ref="B78:D78"/>
    <mergeCell ref="B67:D67"/>
    <mergeCell ref="B72:D72"/>
    <mergeCell ref="B121:D121"/>
    <mergeCell ref="B124:D124"/>
    <mergeCell ref="B125:D125"/>
    <mergeCell ref="B119:D119"/>
    <mergeCell ref="B109:D109"/>
    <mergeCell ref="B110:D110"/>
    <mergeCell ref="B111:D111"/>
    <mergeCell ref="B114:D114"/>
    <mergeCell ref="B104:D104"/>
    <mergeCell ref="B152:D152"/>
    <mergeCell ref="B154:D154"/>
    <mergeCell ref="B145:D145"/>
    <mergeCell ref="B139:D139"/>
    <mergeCell ref="B144:D144"/>
    <mergeCell ref="B134:D134"/>
    <mergeCell ref="B138:D138"/>
    <mergeCell ref="B128:D128"/>
    <mergeCell ref="B131:D131"/>
    <mergeCell ref="B188:D188"/>
    <mergeCell ref="B183:D183"/>
    <mergeCell ref="B178:D178"/>
    <mergeCell ref="B173:D173"/>
    <mergeCell ref="B163:D163"/>
    <mergeCell ref="B164:D164"/>
    <mergeCell ref="B168:D168"/>
    <mergeCell ref="B159:D159"/>
    <mergeCell ref="B162:D162"/>
    <mergeCell ref="B212:D212"/>
    <mergeCell ref="B208:D208"/>
    <mergeCell ref="B210:D210"/>
    <mergeCell ref="B199:D199"/>
    <mergeCell ref="B200:D200"/>
    <mergeCell ref="B201:D201"/>
    <mergeCell ref="B202:D202"/>
    <mergeCell ref="B204:D204"/>
    <mergeCell ref="B193:D193"/>
    <mergeCell ref="B195:D195"/>
    <mergeCell ref="B254:D254"/>
    <mergeCell ref="B249:D249"/>
    <mergeCell ref="B244:D244"/>
    <mergeCell ref="B239:D239"/>
    <mergeCell ref="B230:D230"/>
    <mergeCell ref="B234:D234"/>
    <mergeCell ref="B224:D224"/>
    <mergeCell ref="B225:D225"/>
    <mergeCell ref="B217:D217"/>
    <mergeCell ref="B222:D222"/>
    <mergeCell ref="B299:D299"/>
    <mergeCell ref="B290:D290"/>
    <mergeCell ref="B294:D294"/>
    <mergeCell ref="B286:D286"/>
    <mergeCell ref="B277:D277"/>
    <mergeCell ref="B282:D282"/>
    <mergeCell ref="B274:D274"/>
    <mergeCell ref="B269:D269"/>
    <mergeCell ref="B259:D259"/>
    <mergeCell ref="B264:D264"/>
    <mergeCell ref="B326:D326"/>
    <mergeCell ref="B329:D329"/>
    <mergeCell ref="B319:D319"/>
    <mergeCell ref="B324:D324"/>
    <mergeCell ref="B314:D314"/>
    <mergeCell ref="B309:D309"/>
    <mergeCell ref="B301:D301"/>
    <mergeCell ref="B302:D302"/>
    <mergeCell ref="B304:D304"/>
    <mergeCell ref="B359:D359"/>
    <mergeCell ref="B349:D349"/>
    <mergeCell ref="B352:D352"/>
    <mergeCell ref="B354:D354"/>
    <mergeCell ref="B344:D344"/>
    <mergeCell ref="B338:D338"/>
    <mergeCell ref="B339:D339"/>
    <mergeCell ref="B340:D340"/>
    <mergeCell ref="B334:D334"/>
    <mergeCell ref="B335:D335"/>
    <mergeCell ref="B400:D400"/>
    <mergeCell ref="B392:D392"/>
    <mergeCell ref="B396:D396"/>
    <mergeCell ref="B389:D389"/>
    <mergeCell ref="B376:D376"/>
    <mergeCell ref="B368:D368"/>
    <mergeCell ref="B372:D372"/>
    <mergeCell ref="B363:D363"/>
    <mergeCell ref="B366:D366"/>
    <mergeCell ref="B472:D472"/>
    <mergeCell ref="B459:D459"/>
    <mergeCell ref="B454:D454"/>
    <mergeCell ref="B445:D445"/>
    <mergeCell ref="B435:D435"/>
    <mergeCell ref="B416:D416"/>
    <mergeCell ref="B420:D420"/>
    <mergeCell ref="B410:D410"/>
    <mergeCell ref="B405:D405"/>
    <mergeCell ref="B519:D519"/>
    <mergeCell ref="B515:D515"/>
    <mergeCell ref="B505:D505"/>
    <mergeCell ref="B507:D507"/>
    <mergeCell ref="B508:D508"/>
    <mergeCell ref="B496:D496"/>
    <mergeCell ref="B482:D482"/>
    <mergeCell ref="B486:D486"/>
    <mergeCell ref="B476:D476"/>
    <mergeCell ref="B572:D572"/>
    <mergeCell ref="B566:D566"/>
    <mergeCell ref="B570:D570"/>
    <mergeCell ref="B561:D561"/>
    <mergeCell ref="B554:D554"/>
    <mergeCell ref="B549:D549"/>
    <mergeCell ref="B541:D541"/>
    <mergeCell ref="B544:D544"/>
    <mergeCell ref="B536:D536"/>
    <mergeCell ref="B613:D613"/>
    <mergeCell ref="B616:D616"/>
    <mergeCell ref="B617:D617"/>
    <mergeCell ref="B608:D608"/>
    <mergeCell ref="B611:D611"/>
    <mergeCell ref="B604:D604"/>
    <mergeCell ref="B605:D605"/>
    <mergeCell ref="B597:D597"/>
    <mergeCell ref="B579:D579"/>
    <mergeCell ref="B643:D643"/>
    <mergeCell ref="B646:D646"/>
    <mergeCell ref="B648:D648"/>
    <mergeCell ref="B637:D637"/>
    <mergeCell ref="B642:D642"/>
    <mergeCell ref="B635:D635"/>
    <mergeCell ref="B625:D625"/>
    <mergeCell ref="B630:D630"/>
    <mergeCell ref="B621:D621"/>
    <mergeCell ref="B673:D673"/>
    <mergeCell ref="B678:D678"/>
    <mergeCell ref="B667:D667"/>
    <mergeCell ref="B669:D669"/>
    <mergeCell ref="B672:D672"/>
    <mergeCell ref="B661:D661"/>
    <mergeCell ref="B656:D656"/>
    <mergeCell ref="B651:D651"/>
    <mergeCell ref="B652:D652"/>
    <mergeCell ref="B716:D716"/>
    <mergeCell ref="B712:D712"/>
    <mergeCell ref="B703:D703"/>
    <mergeCell ref="B708:D708"/>
    <mergeCell ref="B698:D698"/>
    <mergeCell ref="B691:D691"/>
    <mergeCell ref="B694:D694"/>
    <mergeCell ref="B686:D686"/>
    <mergeCell ref="B680:D680"/>
    <mergeCell ref="B684:D684"/>
    <mergeCell ref="B754:D754"/>
    <mergeCell ref="B746:D746"/>
    <mergeCell ref="B741:D741"/>
    <mergeCell ref="B735:D735"/>
    <mergeCell ref="B736:D736"/>
    <mergeCell ref="B730:D730"/>
    <mergeCell ref="B732:D732"/>
    <mergeCell ref="B722:D722"/>
    <mergeCell ref="B723:D723"/>
    <mergeCell ref="B802:D802"/>
    <mergeCell ref="B793:D793"/>
    <mergeCell ref="B798:D798"/>
    <mergeCell ref="B788:D788"/>
    <mergeCell ref="B789:D789"/>
    <mergeCell ref="B783:D783"/>
    <mergeCell ref="B776:D776"/>
    <mergeCell ref="B773:D773"/>
    <mergeCell ref="B768:D768"/>
    <mergeCell ref="B894:D894"/>
    <mergeCell ref="B884:D884"/>
    <mergeCell ref="B885:D885"/>
    <mergeCell ref="B878:D878"/>
    <mergeCell ref="B817:D817"/>
    <mergeCell ref="B813:D813"/>
    <mergeCell ref="B816:D816"/>
    <mergeCell ref="B807:D807"/>
    <mergeCell ref="B810:D810"/>
    <mergeCell ref="B933:D933"/>
    <mergeCell ref="B926:D926"/>
    <mergeCell ref="B921:D921"/>
    <mergeCell ref="B913:D913"/>
    <mergeCell ref="B918:D918"/>
    <mergeCell ref="B907:D907"/>
    <mergeCell ref="B910:D910"/>
    <mergeCell ref="B904:D904"/>
    <mergeCell ref="B897:D897"/>
    <mergeCell ref="B900:D900"/>
    <mergeCell ref="B963:D963"/>
    <mergeCell ref="B966:D966"/>
    <mergeCell ref="B958:D958"/>
    <mergeCell ref="B950:D950"/>
    <mergeCell ref="B953:D953"/>
    <mergeCell ref="B945:D945"/>
    <mergeCell ref="B948:D948"/>
    <mergeCell ref="B939:D939"/>
    <mergeCell ref="B940:D940"/>
    <mergeCell ref="B941:D941"/>
    <mergeCell ref="B997:D997"/>
    <mergeCell ref="B998:D998"/>
    <mergeCell ref="B992:D992"/>
    <mergeCell ref="B990:D990"/>
    <mergeCell ref="B980:D980"/>
    <mergeCell ref="B981:D981"/>
    <mergeCell ref="B977:D977"/>
    <mergeCell ref="B969:D969"/>
    <mergeCell ref="B972:D972"/>
    <mergeCell ref="B1056:D1056"/>
    <mergeCell ref="B1048:D1048"/>
    <mergeCell ref="B1043:D1043"/>
    <mergeCell ref="B1034:D1034"/>
    <mergeCell ref="B1038:D1038"/>
    <mergeCell ref="B1029:D1029"/>
    <mergeCell ref="B1016:D1016"/>
    <mergeCell ref="B1011:D1011"/>
    <mergeCell ref="B1003:D1003"/>
    <mergeCell ref="B1006:D1006"/>
    <mergeCell ref="B1100:D1100"/>
    <mergeCell ref="B1082:D1082"/>
    <mergeCell ref="B1083:D1083"/>
    <mergeCell ref="B1086:D1086"/>
    <mergeCell ref="B1075:D1075"/>
    <mergeCell ref="B1080:D1080"/>
    <mergeCell ref="B1070:D1070"/>
    <mergeCell ref="B1067:D1067"/>
    <mergeCell ref="B1059:D1059"/>
    <mergeCell ref="B1144:D1144"/>
    <mergeCell ref="B1136:D1136"/>
    <mergeCell ref="B1139:D1139"/>
    <mergeCell ref="B1131:D1131"/>
    <mergeCell ref="B1134:D1134"/>
    <mergeCell ref="B1127:D1127"/>
    <mergeCell ref="B1118:D1118"/>
    <mergeCell ref="B1105:D1105"/>
    <mergeCell ref="B1109:D1109"/>
    <mergeCell ref="B1172:D1172"/>
    <mergeCell ref="B1175:D1175"/>
    <mergeCell ref="B1176:D1176"/>
    <mergeCell ref="B1169:D1169"/>
    <mergeCell ref="B1164:D1164"/>
    <mergeCell ref="B1154:D1154"/>
    <mergeCell ref="B1157:D1157"/>
    <mergeCell ref="B1148:D1148"/>
    <mergeCell ref="B1151:D1151"/>
    <mergeCell ref="B1204:D1204"/>
    <mergeCell ref="B1199:D1199"/>
    <mergeCell ref="B1191:D1191"/>
    <mergeCell ref="B1194:D1194"/>
    <mergeCell ref="B1184:D1184"/>
    <mergeCell ref="B1188:D1188"/>
    <mergeCell ref="B1178:D1178"/>
    <mergeCell ref="B1180:D1180"/>
    <mergeCell ref="B1182:D1182"/>
    <mergeCell ref="B1249:D1249"/>
    <mergeCell ref="B1246:D1246"/>
    <mergeCell ref="B1237:D1237"/>
    <mergeCell ref="B1232:D1232"/>
    <mergeCell ref="B1227:D1227"/>
    <mergeCell ref="B1222:D1222"/>
    <mergeCell ref="B1213:D1213"/>
    <mergeCell ref="B1207:D1207"/>
    <mergeCell ref="B1210:D1210"/>
    <mergeCell ref="B1309:D1309"/>
    <mergeCell ref="B1311:D1311"/>
    <mergeCell ref="B1304:D1304"/>
    <mergeCell ref="B1301:D1301"/>
    <mergeCell ref="B1286:D1286"/>
    <mergeCell ref="B1289:D1289"/>
    <mergeCell ref="B1273:D1273"/>
    <mergeCell ref="B1269:D1269"/>
    <mergeCell ref="B1262:D1262"/>
    <mergeCell ref="B1264:D1264"/>
    <mergeCell ref="B1369:D1369"/>
    <mergeCell ref="B1347:D1347"/>
    <mergeCell ref="B1334:D1334"/>
    <mergeCell ref="B1335:D1335"/>
    <mergeCell ref="B1327:D1327"/>
    <mergeCell ref="B1322:D1322"/>
    <mergeCell ref="B1325:D1325"/>
    <mergeCell ref="B1326:D1326"/>
    <mergeCell ref="B1316:D1316"/>
    <mergeCell ref="B1431:D1431"/>
    <mergeCell ref="B1432:D1432"/>
    <mergeCell ref="B1434:D1434"/>
    <mergeCell ref="B1426:D1426"/>
    <mergeCell ref="B1417:D1417"/>
    <mergeCell ref="B1419:D1419"/>
    <mergeCell ref="B1387:D1387"/>
    <mergeCell ref="B1385:D1385"/>
    <mergeCell ref="B1379:D1379"/>
    <mergeCell ref="B1474:D1474"/>
    <mergeCell ref="B1459:D1459"/>
    <mergeCell ref="B1463:D1463"/>
    <mergeCell ref="B1453:D1453"/>
    <mergeCell ref="B1456:D1456"/>
    <mergeCell ref="B1458:D1458"/>
    <mergeCell ref="B1451:D1451"/>
    <mergeCell ref="B1436:D1436"/>
    <mergeCell ref="B1438:D1438"/>
    <mergeCell ref="B1440:D1440"/>
    <mergeCell ref="B1540:D1540"/>
    <mergeCell ref="B1535:D1535"/>
    <mergeCell ref="B1529:D1529"/>
    <mergeCell ref="B1513:D1513"/>
    <mergeCell ref="B1518:D1518"/>
    <mergeCell ref="B1511:D1511"/>
    <mergeCell ref="B1503:D1503"/>
    <mergeCell ref="B1500:D1500"/>
    <mergeCell ref="B1482:D1482"/>
    <mergeCell ref="B1581:D1581"/>
    <mergeCell ref="B1583:D1583"/>
    <mergeCell ref="B1574:D1574"/>
    <mergeCell ref="B1576:D1576"/>
    <mergeCell ref="B1578:D1578"/>
    <mergeCell ref="B1567:D1567"/>
    <mergeCell ref="B1572:D1572"/>
    <mergeCell ref="B1562:D1562"/>
    <mergeCell ref="B1549:D1549"/>
    <mergeCell ref="B1550:D1550"/>
    <mergeCell ref="B1553:D1553"/>
    <mergeCell ref="B1616:D1616"/>
    <mergeCell ref="B1619:D1619"/>
    <mergeCell ref="B1611:D1611"/>
    <mergeCell ref="B1599:D1599"/>
    <mergeCell ref="B1602:D1602"/>
    <mergeCell ref="B1594:D1594"/>
    <mergeCell ref="B1595:D1595"/>
    <mergeCell ref="B1587:D1587"/>
    <mergeCell ref="B1589:D1589"/>
    <mergeCell ref="B1671:D1671"/>
    <mergeCell ref="B1664:D1664"/>
    <mergeCell ref="B1661:D1661"/>
    <mergeCell ref="B1651:D1651"/>
    <mergeCell ref="B1653:D1653"/>
    <mergeCell ref="B1634:D1634"/>
    <mergeCell ref="B1637:D1637"/>
    <mergeCell ref="B1631:D1631"/>
    <mergeCell ref="B1621:D1621"/>
    <mergeCell ref="B1623:D1623"/>
    <mergeCell ref="B1626:D1626"/>
    <mergeCell ref="B1705:D1705"/>
    <mergeCell ref="B1708:D1708"/>
    <mergeCell ref="B1700:D1700"/>
    <mergeCell ref="B1695:D1695"/>
    <mergeCell ref="B1690:D1690"/>
    <mergeCell ref="B1681:D1681"/>
    <mergeCell ref="B1683:D1683"/>
    <mergeCell ref="B1686:D1686"/>
    <mergeCell ref="B1676:D1676"/>
    <mergeCell ref="B1679:D1679"/>
    <mergeCell ref="B1768:D1768"/>
    <mergeCell ref="B1759:D1759"/>
    <mergeCell ref="B1754:D1754"/>
    <mergeCell ref="B1749:D1749"/>
    <mergeCell ref="B1736:D1736"/>
    <mergeCell ref="B1731:D1731"/>
    <mergeCell ref="B1734:D1734"/>
    <mergeCell ref="B1728:D1728"/>
    <mergeCell ref="B1717:D1717"/>
    <mergeCell ref="B1719:D1719"/>
    <mergeCell ref="B1827:D1827"/>
    <mergeCell ref="B1813:D1813"/>
    <mergeCell ref="B1818:D1818"/>
    <mergeCell ref="B1808:D1808"/>
    <mergeCell ref="B1803:D1803"/>
    <mergeCell ref="B1798:D1798"/>
    <mergeCell ref="B1793:D1793"/>
    <mergeCell ref="B1784:D1784"/>
    <mergeCell ref="B1773:D1773"/>
    <mergeCell ref="B1775:D1775"/>
    <mergeCell ref="B1868:D1868"/>
    <mergeCell ref="B1862:D1862"/>
    <mergeCell ref="B1863:D1863"/>
    <mergeCell ref="B1857:D1857"/>
    <mergeCell ref="B1859:D1859"/>
    <mergeCell ref="B1848:D1848"/>
    <mergeCell ref="B1837:D1837"/>
    <mergeCell ref="B1839:D1839"/>
    <mergeCell ref="B1832:D1832"/>
    <mergeCell ref="B1949:D1949"/>
    <mergeCell ref="B1940:D1940"/>
    <mergeCell ref="B1928:D1928"/>
    <mergeCell ref="B1924:D1924"/>
    <mergeCell ref="B1915:D1915"/>
    <mergeCell ref="B1919:D1919"/>
    <mergeCell ref="B1914:D1914"/>
    <mergeCell ref="B1900:D1900"/>
    <mergeCell ref="B1879:D1879"/>
    <mergeCell ref="B1880:D1880"/>
    <mergeCell ref="B1883:D1883"/>
    <mergeCell ref="B1884:D1884"/>
    <mergeCell ref="B1983:D1983"/>
    <mergeCell ref="B1979:D1979"/>
    <mergeCell ref="B1970:D1970"/>
    <mergeCell ref="B1964:D1964"/>
    <mergeCell ref="B1965:D1965"/>
    <mergeCell ref="B1967:D1967"/>
    <mergeCell ref="B1960:D1960"/>
    <mergeCell ref="B1962:D1962"/>
    <mergeCell ref="B1953:D1953"/>
    <mergeCell ref="B1955:D1955"/>
    <mergeCell ref="B2030:D2030"/>
    <mergeCell ref="B2025:D2025"/>
    <mergeCell ref="B2017:D2017"/>
    <mergeCell ref="B2022:D2022"/>
    <mergeCell ref="B2016:D2016"/>
    <mergeCell ref="B1999:D1999"/>
    <mergeCell ref="B2000:D2000"/>
    <mergeCell ref="B2003:D2003"/>
    <mergeCell ref="B1994:D1994"/>
    <mergeCell ref="B2077:D2077"/>
    <mergeCell ref="B2068:D2068"/>
    <mergeCell ref="B2062:D2062"/>
    <mergeCell ref="B2054:D2054"/>
    <mergeCell ref="B2056:D2056"/>
    <mergeCell ref="B2042:D2042"/>
    <mergeCell ref="B2035:D2035"/>
    <mergeCell ref="B2038:D2038"/>
    <mergeCell ref="B2039:D2039"/>
    <mergeCell ref="B2131:D2131"/>
    <mergeCell ref="B2134:D2134"/>
    <mergeCell ref="B2126:D2126"/>
    <mergeCell ref="B2128:D2128"/>
    <mergeCell ref="B2121:D2121"/>
    <mergeCell ref="B2111:D2111"/>
    <mergeCell ref="B2095:D2095"/>
    <mergeCell ref="B2100:D2100"/>
    <mergeCell ref="B2086:D2086"/>
    <mergeCell ref="B2087:D2087"/>
    <mergeCell ref="B2177:D2177"/>
    <mergeCell ref="B2178:D2178"/>
    <mergeCell ref="B2170:D2170"/>
    <mergeCell ref="B2161:D2161"/>
    <mergeCell ref="B2162:D2162"/>
    <mergeCell ref="B2165:D2165"/>
    <mergeCell ref="B2156:D2156"/>
    <mergeCell ref="B2149:D2149"/>
    <mergeCell ref="B2143:D2143"/>
    <mergeCell ref="B2147:D2147"/>
    <mergeCell ref="B2276:D2276"/>
    <mergeCell ref="B2271:D2271"/>
    <mergeCell ref="B2274:D2274"/>
    <mergeCell ref="B2215:D2215"/>
    <mergeCell ref="B2220:D2220"/>
    <mergeCell ref="B2210:D2210"/>
    <mergeCell ref="B2208:D2208"/>
    <mergeCell ref="B2193:D2193"/>
    <mergeCell ref="B2180:D2180"/>
    <mergeCell ref="B2331:D2331"/>
    <mergeCell ref="B2317:D2317"/>
    <mergeCell ref="B2313:D2313"/>
    <mergeCell ref="B2305:D2305"/>
    <mergeCell ref="B2302:D2302"/>
    <mergeCell ref="B2293:D2293"/>
    <mergeCell ref="B2298:D2298"/>
    <mergeCell ref="B2281:D2281"/>
    <mergeCell ref="B2282:D2282"/>
    <mergeCell ref="B2284:D2284"/>
    <mergeCell ref="B2371:D2371"/>
    <mergeCell ref="B2376:D2376"/>
    <mergeCell ref="B2366:D2366"/>
    <mergeCell ref="B2361:D2361"/>
    <mergeCell ref="B2347:D2347"/>
    <mergeCell ref="B2348:D2348"/>
    <mergeCell ref="B2344:D2344"/>
    <mergeCell ref="B2346:D2346"/>
    <mergeCell ref="B2340:D2340"/>
    <mergeCell ref="B2412:D2412"/>
    <mergeCell ref="B2405:D2405"/>
    <mergeCell ref="B2406:D2406"/>
    <mergeCell ref="B2397:D2397"/>
    <mergeCell ref="B2392:D2392"/>
    <mergeCell ref="B2393:D2393"/>
    <mergeCell ref="B2384:D2384"/>
    <mergeCell ref="B2377:D2377"/>
    <mergeCell ref="B2382:D2382"/>
    <mergeCell ref="B2552:D2552"/>
    <mergeCell ref="B2546:D2546"/>
    <mergeCell ref="B2504:D2504"/>
    <mergeCell ref="B2449:D2449"/>
    <mergeCell ref="B2450:D2450"/>
    <mergeCell ref="B2443:D2443"/>
    <mergeCell ref="B2435:D2435"/>
    <mergeCell ref="B2427:D2427"/>
    <mergeCell ref="B2428:D2428"/>
    <mergeCell ref="H12:H13"/>
    <mergeCell ref="I12:I13"/>
    <mergeCell ref="L12:L13"/>
    <mergeCell ref="M12:M13"/>
    <mergeCell ref="B2798:D2798"/>
    <mergeCell ref="B12:B13"/>
    <mergeCell ref="C12:C13"/>
    <mergeCell ref="E12:E13"/>
    <mergeCell ref="B2793:D2793"/>
    <mergeCell ref="B2794:D2794"/>
    <mergeCell ref="B2796:D2796"/>
    <mergeCell ref="B2788:D2788"/>
    <mergeCell ref="B2781:D2781"/>
    <mergeCell ref="B2784:D2784"/>
    <mergeCell ref="B2776:D2776"/>
    <mergeCell ref="B2771:D2771"/>
    <mergeCell ref="B2766:D2766"/>
    <mergeCell ref="B2753:D2753"/>
    <mergeCell ref="B2743:D2743"/>
    <mergeCell ref="B2748:D2748"/>
    <mergeCell ref="B2738:D2738"/>
    <mergeCell ref="B2665:D2665"/>
    <mergeCell ref="B2557:D2557"/>
    <mergeCell ref="B2551:D2551"/>
    <mergeCell ref="AF12:AF13"/>
    <mergeCell ref="AG12:AG13"/>
    <mergeCell ref="AH12:AH13"/>
    <mergeCell ref="D12:D13"/>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F12:F13"/>
    <mergeCell ref="G12:G13"/>
  </mergeCells>
  <dataValidations count="30">
    <dataValidation type="decimal" operator="equal" allowBlank="1" showErrorMessage="1" errorTitle="Не нужно менять минимальное количество для заказа:" error="минимальное количество для заказа = 1" sqref="L24 L33 L79 L211 L615 L1183 L1885 L1901 L1903 L1905 L1944 L1946 L1954 L1963 L1966 L1980 L1982 L2004 L2006 L2055 L2179 L2195 L2200 L2205 L2207 L2247 L2785 L2799 L36:L41 L73:L77 L97:L103 L146:L151 L155:L158 L231:L233 L283:L285 L341:L343 L421:L434 L455:L458 L653:L655 L898:L899 L905:L906 L946:L947 L1328:L1333 L1677:L1678 L1869:L1878 L1881:L1882 L1894:L1895 L1916:L1918 L1950:L1952 L2001:L2002 L2008:L2015 L2018:L2021 L2031:L2034 L2036:L2037 L2040:L2041 L2043:L2053 L2113:L2120 L2122:L2125 L2272:L2273 L2294:L2297 L2299:L2300 L2444:L2448 L2767:L2770">
      <formula1>1</formula1>
    </dataValidation>
    <dataValidation type="decimal" operator="greaterThanOrEqual" allowBlank="1" showErrorMessage="1" errorTitle="Нельзя заказать меньше чем :" error="минимальное количество для заказа = 1" sqref="N24 N33 N79 N211 N615 N1183 N1885 N1901 N1903 N1905 N1944 N1946 N1954 N1963 N1966 N1980 N1982 N2004 N2006 N2055 N2179 N2195 N2200 N2205 N2207 N2247 N2785 N2799 N36:N41 N73:N77 N97:N103 N146:N151 N155:N158 N231:N233 N283:N285 N341:N343 N421:N434 N455:N458 N653:N655 N898:N899 N905:N906 N946:N947 N1328:N1333 N1677:N1678 N1869:N1878 N1881:N1882 N1894:N1895 N1916:N1918 N1950:N1952 N2001:N2002 N2008:N2015 N2018:N2021 N2031:N2034 N2036:N2037 N2040:N2041 N2043:N2053 N2113:N2120 N2122:N2125 N2272:N2273 N2294:N2297 N2299:N2300 N2444:N2448 N2767:N2770">
      <formula1>1</formula1>
    </dataValidation>
    <dataValidation type="decimal" operator="equal" allowBlank="1" showErrorMessage="1" errorTitle="Не нужно менять минимальное количество для заказа:" error="минимальное количество для заказа = 6" sqref="L61 L1181 L1573 L1584 L179:L182 L184:L187 L562:L565 L999:L1002 L1007:L1010 L1173:L1174 L1504:L1510 L2413:L2426">
      <formula1>6</formula1>
    </dataValidation>
    <dataValidation type="decimal" operator="greaterThanOrEqual" allowBlank="1" showErrorMessage="1" errorTitle="Нельзя заказать меньше чем :" error="минимальное количество для заказа = 6" sqref="N61 N1181 N1573 N1584 N179:N182 N184:N187 N562:N565 N999:N1002 N1007:N1010 N1173:N1174 N1504:N1510 N2413:N2426">
      <formula1>6</formula1>
    </dataValidation>
    <dataValidation type="decimal" operator="equal" allowBlank="1" showErrorMessage="1" errorTitle="Не нужно менять минимальное количество для заказа:" error="минимальное количество для заказа = 2" sqref="L81 L87 L153 L203 L209 L223 L571 L612 L614 L647 L679 L731 L1179 L1433 L1902 L1904 L1925 L1945 L1961 L1981 L2005 L2023 L2112 L2127 L2194 L2206 L2209 L2227 L2242 L2269 L2275 L2301 L18:L22 L30:L31 L89:L95 L105:L108 L135:L137 L140:L143 L165:L167 L205:L207 L226:L229 L350:L351 L360:L362 L417:L419 L487:L495 L545:L548 L555:L560 L567:L569 L573:L578 L606:L607 L609:L610 L626:L629 L649:L650 L674:L677 L704:L707 L713:L715 L717:L721 L724:L729 L733:L734 L737:L740 L755:L767 L901:L903 L911:L912 L959:L962 L1044:L1047 L1192:L1193 L1214:L1221 L1247:L1248 L1305:L1308 L1501:L1502 L1632:L1633 L1635:L1636 L1701:L1704 L1769:L1772 L1804:L1807 L1809:L1812 L1864:L1867 L1886:L1893 L1896:L1899 L1906:L1909 L1911:L1912 L1920:L1923 L1929:L1939 L1941:L1943 L1947:L1948 L1956:L1959 L1968:L1969 L1971:L1978 L1984:L1993 L2026:L2029 L2057:L2061 L2063:L2067 L2088:L2094 L2129:L2130 L2135:L2142 L2157:L2160 L2163:L2164 L2166:L2169 L2181:L2192 L2196:L2199 L2201:L2204 L2211:L2214 L2216:L2219 L2255:L2256 L2303:L2304 L2306:L2312 L2318:L2330 L2341:L2343 L2372:L2375 L2385:L2391 L2394:L2396 L2398:L2404 L2429:L2434 L2436:L2442 L2739:L2742 L2782:L2783 L2786:L2787">
      <formula1>2</formula1>
    </dataValidation>
    <dataValidation type="decimal" operator="greaterThanOrEqual" allowBlank="1" showErrorMessage="1" errorTitle="Нельзя заказать меньше чем :" error="минимальное количество для заказа = 2" sqref="N81 N87 N153 N203 N209 N223 N571 N612 N614 N647 N679 N731 N1179 N1433 N1902 N1904 N1925 N1945 N1961 N1981 N2005 N2023 N2112 N2127 N2194 N2206 N2209 N2227 N2242 N2269 N2275 N2301 N18:N22 N30:N31 N89:N95 N105:N108 N135:N137 N140:N143 N165:N167 N205:N207 N226:N229 N350:N351 N360:N362 N417:N419 N487:N495 N545:N548 N555:N560 N567:N569 N573:N578 N606:N607 N609:N610 N626:N629 N649:N650 N674:N677 N704:N707 N713:N715 N717:N721 N724:N729 N733:N734 N737:N740 N755:N767 N901:N903 N911:N912 N959:N962 N1044:N1047 N1192:N1193 N1214:N1221 N1247:N1248 N1305:N1308 N1501:N1502 N1632:N1633 N1635:N1636 N1701:N1704 N1769:N1772 N1804:N1807 N1809:N1812 N1864:N1867 N1886:N1893 N1896:N1899 N1906:N1909 N1911:N1912 N1920:N1923 N1929:N1939 N1941:N1943 N1947:N1948 N1956:N1959 N1968:N1969 N1971:N1978 N1984:N1993 N2026:N2029 N2057:N2061 N2063:N2067 N2088:N2094 N2129:N2130 N2135:N2142 N2157:N2160 N2163:N2164 N2166:N2169 N2181:N2192 N2196:N2199 N2201:N2204 N2211:N2214 N2216:N2219 N2255:N2256 N2303:N2304 N2306:N2312 N2318:N2330 N2341:N2343 N2372:N2375 N2385:N2391 N2394:N2396 N2398:N2404 N2429:N2434 N2436:N2442 N2739:N2742 N2782:N2783 N2786:N2787">
      <formula1>2</formula1>
    </dataValidation>
    <dataValidation type="decimal" operator="equal" allowBlank="1" showErrorMessage="1" errorTitle="Не нужно менять минимальное количество для заказа:" error="минимальное количество для заказа = 8" sqref="L84 L120 L1081 L1577 L63:L65 L132:L133 L169:L172 L295:L298 L406:L409 L922:L925 L954:L957 L1004:L1005 L1017:L1028 L1049:L1055 L1189:L1190 L1238:L1245 L1270:L1272 L1596:L1598 L1600:L1601 L1627:L1630 L1654:L1660 L1662:L1663 L1737:L1748 L1785:L1792 L2505:L2545 L2666:L2737">
      <formula1>8</formula1>
    </dataValidation>
    <dataValidation type="decimal" operator="greaterThanOrEqual" allowBlank="1" showErrorMessage="1" errorTitle="Нельзя заказать меньше чем :" error="минимальное количество для заказа = 8" sqref="N84 N120 N1081 N1577 N63:N65 N132:N133 N169:N172 N295:N298 N406:N409 N922:N925 N954:N957 N1004:N1005 N1017:N1028 N1049:N1055 N1189:N1190 N1238:N1245 N1270:N1272 N1596:N1598 N1600:N1601 N1627:N1630 N1654:N1660 N1662:N1663 N1737:N1748 N1785:N1792 N2505:N2545 N2666:N2737">
      <formula1>8</formula1>
    </dataValidation>
    <dataValidation type="decimal" operator="equal" allowBlank="1" showErrorMessage="1" errorTitle="Не нужно менять минимальное количество для заказа:" error="минимальное количество для заказа = 3" sqref="L194 L303 L685 L1177 L1435 L1680 L1735 L1910 L1913 L2007 L2024 L2082 L2146 L2148 L2238 L2240 L2246 L2263 L2270 L2283 L26:L28 L52:L54 L68:L71 L122:L123 L126:L127 L245:L248 L255:L258 L291:L293 L320:L323 L345:L348 L364:L365 L373:L375 L390:L391 L393:L395 L397:L399 L436:L444 L446:L453 L460:L471 L473:L475 L477:L481 L483:L485 L520:L535 L537:L540 L542:L543 L598:L603 L622:L624 L638:L641 L644:L645 L681:L683 L687:L690 L692:L693 L695:L697 L709:L711 L769:L772 L803:L806 L818:L877 L895:L896 L919:L920 L967:L968 L993:L996 L1039:L1042 L1060:L1066 L1068:L1069 L1071:L1074 L1087:L1099 L1195:L1198 L1200:L1203 L1208:L1209 L1211:L1212 L1290:L1300 L1483:L1499 L1514:L1517 L1530:L1534 L1536:L1539 L1541:L1548 L1551:L1552 L1568:L1571 L1665:L1670 L1729:L1730 L1732:L1733 L1799:L1802 L1828:L1831 L1833:L1836 L1926:L1927 L1995:L1998 L2069:L2076 L2078:L2080 L2096:L2099 L2101:L2110 L2150:L2155 L2171:L2176 L2223:L2224 L2229:L2230 L2234:L2235 L2249:L2250 L2257:L2261 L2266:L2267 L2277:L2280 L2285:L2292 L2314:L2316 L2332:L2339 L2362:L2365 L2378:L2381 L2407:L2411 L2553:L2556 L2772:L2775">
      <formula1>3</formula1>
    </dataValidation>
    <dataValidation type="decimal" operator="greaterThanOrEqual" allowBlank="1" showErrorMessage="1" errorTitle="Нельзя заказать меньше чем :" error="минимальное количество для заказа = 3" sqref="N194 N303 N685 N1177 N1435 N1680 N1735 N1910 N1913 N2007 N2024 N2082 N2146 N2148 N2238 N2240 N2246 N2263 N2270 N2283 N26:N28 N52:N54 N68:N71 N122:N123 N126:N127 N245:N248 N255:N258 N291:N293 N320:N323 N345:N348 N364:N365 N373:N375 N390:N391 N393:N395 N397:N399 N436:N444 N446:N453 N460:N471 N473:N475 N477:N481 N483:N485 N520:N535 N537:N540 N542:N543 N598:N603 N622:N624 N638:N641 N644:N645 N681:N683 N687:N690 N692:N693 N695:N697 N709:N711 N769:N772 N803:N806 N818:N877 N895:N896 N919:N920 N967:N968 N993:N996 N1039:N1042 N1060:N1066 N1068:N1069 N1071:N1074 N1087:N1099 N1195:N1198 N1200:N1203 N1208:N1209 N1211:N1212 N1290:N1300 N1483:N1499 N1514:N1517 N1530:N1534 N1536:N1539 N1541:N1548 N1551:N1552 N1568:N1571 N1665:N1670 N1729:N1730 N1732:N1733 N1799:N1802 N1828:N1831 N1833:N1836 N1926:N1927 N1995:N1998 N2069:N2076 N2078:N2080 N2096:N2099 N2101:N2110 N2150:N2155 N2171:N2176 N2223:N2224 N2229:N2230 N2234:N2235 N2249:N2250 N2257:N2261 N2266:N2267 N2277:N2280 N2285:N2292 N2314:N2316 N2332:N2339 N2362:N2365 N2378:N2381 N2407:N2411 N2553:N2556 N2772:N2775">
      <formula1>3</formula1>
    </dataValidation>
    <dataValidation type="decimal" operator="equal" allowBlank="1" showErrorMessage="1" errorTitle="Не нужно менять минимальное количество для заказа:" error="минимальное количество для заказа = 7" sqref="L300 L325 L668 L949 L2795 L112:L113 L115:L118 L174:L177 L189:L192 L235:L238 L240:L243 L250:L253 L265:L268 L270:L273 L275:L276 L278:L281 L305:L308 L310:L313 L327:L328 L369:L371 L497:L504 L509:L514 L550:L553 L657:L660 L784:L787 L970:L971 L1012:L1015 L1076:L1079 L1145:L1147 L1165:L1168 L1185:L1187 L1312:L1315 L1720:L1727 L1760:L1767">
      <formula1>7</formula1>
    </dataValidation>
    <dataValidation type="decimal" operator="greaterThanOrEqual" allowBlank="1" showErrorMessage="1" errorTitle="Нельзя заказать меньше чем :" error="минимальное количество для заказа = 7" sqref="N300 N325 N668 N949 N2795 N112:N113 N115:N118 N174:N177 N189:N192 N235:N238 N240:N243 N250:N253 N265:N268 N270:N273 N275:N276 N278:N281 N305:N308 N310:N313 N327:N328 N369:N371 N497:N504 N509:N514 N550:N553 N657:N660 N784:N787 N970:N971 N1012:N1015 N1076:N1079 N1145:N1147 N1165:N1168 N1185:N1187 N1312:N1315 N1720:N1727 N1760:N1767">
      <formula1>7</formula1>
    </dataValidation>
    <dataValidation type="decimal" operator="equal" allowBlank="1" showErrorMessage="1" errorTitle="Не нужно менять минимальное количество для заказа:" error="минимальное количество для заказа = 4" sqref="L353 L636 L1263 L1437 L1439 L1452 L1457 L1512 L1588 L1652 L1858 L2081 L2228 L2239 L2241 L2248 L2262 L2268 L2345 L2797 L43:L50 L287:L289 L336:L337 L355:L358 L580:L596 L618:L620 L631:L634 L662:L666 L699:L702 L742:L745 L790:L792 L811:L812 L814:L815 L879:L883 L886:L893 L908:L909 L978:L979 L1101:L1104 L1205:L1206 L1274:L1285 L1441:L1450 L1454:L1455 L1460:L1462 L1464:L1473 L1519:L1528 L1554:L1561 L1563:L1566 L1579:L1580 L1585:L1586 L1590:L1593 L1684:L1685 L1706:L1707 L1755:L1758 L1840:L1847 L2083:L2085 L2132:L2133 L2144:L2145 L2221:L2222 L2225:L2226 L2231:L2233 L2236:L2237 L2243:L2245 L2251:L2254 L2264:L2265 L2547:L2550 L2789:L2792">
      <formula1>4</formula1>
    </dataValidation>
    <dataValidation type="decimal" operator="greaterThanOrEqual" allowBlank="1" showErrorMessage="1" errorTitle="Нельзя заказать меньше чем :" error="минимальное количество для заказа = 4" sqref="N353 N636 N1263 N1437 N1439 N1452 N1457 N1512 N1588 N1652 N1858 N2081 N2228 N2239 N2241 N2248 N2262 N2268 N2345 N2797 N43:N50 N287:N289 N336:N337 N355:N358 N580:N596 N618:N620 N631:N634 N662:N666 N699:N702 N742:N745 N790:N792 N811:N812 N814:N815 N879:N883 N886:N893 N908:N909 N978:N979 N1101:N1104 N1205:N1206 N1274:N1285 N1441:N1450 N1454:N1455 N1460:N1462 N1464:N1473 N1519:N1528 N1554:N1561 N1563:N1566 N1579:N1580 N1585:N1586 N1590:N1593 N1684:N1685 N1706:N1707 N1755:N1758 N1840:N1847 N2083:N2085 N2132:N2133 N2144:N2145 N2221:N2222 N2225:N2226 N2231:N2233 N2236:N2237 N2243:N2245 N2251:N2254 N2264:N2265 N2547:N2550 N2789:N2792">
      <formula1>4</formula1>
    </dataValidation>
    <dataValidation type="decimal" operator="equal" allowBlank="1" showErrorMessage="1" errorTitle="Не нужно менять минимальное количество для заказа:" error="минимальное количество для заказа = 5" sqref="L367 L506 L1135 L1310 L1575 L1582 L1682 L2383 L196:L198 L213:L216 L315:L318 L377:L388 L401:L404 L411:L415 L516:L518 L774:L775 L794:L797 L799:L801 L808:L809 L951:L952 L973:L976 L1030:L1033 L1035:L1037 L1057:L1058 L1140:L1143 L1223:L1226 L1302:L1303 L1317:L1321 L1612:L1615 L1624:L1625 L1776:L1783 L1794:L1797 L1814:L1817 L1849:L1856 L2349:L2360 L2367:L2370 L2451:L2503 L2558:L2664 L2744:L2747 L2749:L2752 L2777:L2780">
      <formula1>5</formula1>
    </dataValidation>
    <dataValidation type="decimal" operator="greaterThanOrEqual" allowBlank="1" showErrorMessage="1" errorTitle="Нельзя заказать меньше чем :" error="минимальное количество для заказа = 5" sqref="N367 N506 N1135 N1310 N1575 N1582 N1682 N2383 N196:N198 N213:N216 N315:N318 N377:N388 N401:N404 N411:N415 N516:N518 N774:N775 N794:N797 N799:N801 N808:N809 N951:N952 N973:N976 N1030:N1033 N1035:N1037 N1057:N1058 N1140:N1143 N1223:N1226 N1302:N1303 N1317:N1321 N1612:N1615 N1624:N1625 N1776:N1783 N1794:N1797 N1814:N1817 N1849:N1856 N2349:N2360 N2367:N2370 N2451:N2503 N2558:N2664 N2744:N2747 N2749:N2752 N2777:N2780">
      <formula1>5</formula1>
    </dataValidation>
    <dataValidation type="decimal" operator="equal" allowBlank="1" showErrorMessage="1" errorTitle="Не нужно менять минимальное количество для заказа:" error="минимальное количество для заказа = 14" sqref="L927 L932 L670:L671">
      <formula1>14</formula1>
    </dataValidation>
    <dataValidation type="decimal" operator="greaterThanOrEqual" allowBlank="1" showErrorMessage="1" errorTitle="Нельзя заказать меньше чем :" error="минимальное количество для заказа = 14" sqref="N927 N932 N670:N671">
      <formula1>14</formula1>
    </dataValidation>
    <dataValidation type="decimal" operator="equal" allowBlank="1" showErrorMessage="1" errorTitle="Не нужно менять минимальное количество для заказа:" error="минимальное количество для заказа = 10" sqref="L991 L1620 L1774 L57:L59 L129:L130 L160:L161 L218:L221 L260:L263 L330:L333 L747:L753 L928:L931 L1084:L1085 L1106:L1108 L1132:L1133 L1149:L1150 L1152:L1153 L1170:L1171 L1233:L1236 L1265:L1268 L1323:L1324 L1475:L1481 L1603:L1610 L1638:L1650 L1691:L1694 L1696:L1699 L1819:L1826 L2754:L2765">
      <formula1>10</formula1>
    </dataValidation>
    <dataValidation type="decimal" operator="greaterThanOrEqual" allowBlank="1" showErrorMessage="1" errorTitle="Нельзя заказать меньше чем :" error="минимальное количество для заказа = 10" sqref="N991 N1620 N1774 N57:N59 N129:N130 N160:N161 N218:N221 N260:N263 N330:N333 N747:N753 N928:N931 N1084:N1085 N1106:N1108 N1132:N1133 N1149:N1150 N1152:N1153 N1170:N1171 N1233:N1236 N1265:N1268 N1323:N1324 N1475:N1481 N1603:N1610 N1638:N1650 N1691:N1694 N1696:N1699 N1819:N1826 N2754:N2765">
      <formula1>10</formula1>
    </dataValidation>
    <dataValidation type="decimal" operator="equal" allowBlank="1" showErrorMessage="1" errorTitle="Не нужно менять минимальное количество для заказа:" error="минимальное количество для заказа = 30" sqref="L1386">
      <formula1>30</formula1>
    </dataValidation>
    <dataValidation type="decimal" operator="greaterThanOrEqual" allowBlank="1" showErrorMessage="1" errorTitle="Нельзя заказать меньше чем :" error="минимальное количество для заказа = 30" sqref="N1386">
      <formula1>30</formula1>
    </dataValidation>
    <dataValidation type="decimal" operator="equal" allowBlank="1" showErrorMessage="1" errorTitle="Не нужно менять минимальное количество для заказа:" error="минимальное количество для заказа = 20" sqref="L1418 L914:L917 L1119:L1126 L1128:L1130 L1155:L1156 L1287:L1288 L1388:L1416 L1420:L1425 L1427:L1430 L1617:L1618 L1672:L1675 L1860:L1861">
      <formula1>20</formula1>
    </dataValidation>
    <dataValidation type="decimal" operator="greaterThanOrEqual" allowBlank="1" showErrorMessage="1" errorTitle="Нельзя заказать меньше чем :" error="минимальное количество для заказа = 20" sqref="N1418 N914:N917 N1119:N1126 N1128:N1130 N1155:N1156 N1287:N1288 N1388:N1416 N1420:N1425 N1427:N1430 N1617:N1618 N1672:N1675 N1860:N1861">
      <formula1>20</formula1>
    </dataValidation>
    <dataValidation type="decimal" operator="equal" allowBlank="1" showErrorMessage="1" errorTitle="Не нужно менять минимальное количество для заказа:" error="минимальное количество для заказа = 12" sqref="L1622 L1718 L964:L965 L982:L989 L1137:L1138 L1228:L1231 L1687:L1689 L1709:L1716 L1750:L1753">
      <formula1>12</formula1>
    </dataValidation>
    <dataValidation type="decimal" operator="greaterThanOrEqual" allowBlank="1" showErrorMessage="1" errorTitle="Нельзя заказать меньше чем :" error="минимальное количество для заказа = 12" sqref="N1622 N1718 N964:N965 N982:N989 N1137:N1138 N1228:N1231 N1687:N1689 N1709:N1716 N1750:N1753">
      <formula1>12</formula1>
    </dataValidation>
    <dataValidation type="decimal" operator="equal" allowBlank="1" showErrorMessage="1" errorTitle="Не нужно менять минимальное количество для заказа:" error="минимальное количество для заказа = 25" sqref="L1838 L1110:L1117 L1158:L1163 L1370:L1378 L1380:L1384">
      <formula1>25</formula1>
    </dataValidation>
    <dataValidation type="decimal" operator="greaterThanOrEqual" allowBlank="1" showErrorMessage="1" errorTitle="Нельзя заказать меньше чем :" error="минимальное количество для заказа = 25" sqref="N1838 N1110:N1117 N1158:N1163 N1370:N1378 N1380:N1384">
      <formula1>25</formula1>
    </dataValidation>
    <dataValidation type="decimal" operator="equal" allowBlank="1" showErrorMessage="1" errorTitle="Не нужно менять минимальное количество для заказа:" error="минимальное количество для заказа = 15" sqref="L777:L782 L934:L938 L942:L944 L1250:L1261 L1336:L1346 L1348:L1368">
      <formula1>15</formula1>
    </dataValidation>
    <dataValidation type="decimal" operator="greaterThanOrEqual" allowBlank="1" showErrorMessage="1" errorTitle="Нельзя заказать меньше чем :" error="минимальное количество для заказа = 15" sqref="N777:N782 N934:N938 N942:N944 N1250:N1261 N1336:N1346 N1348:N1368">
      <formula1>15</formula1>
    </dataValidation>
  </dataValidations>
  <pageMargins left="0.39" right="0.39" top="0.39" bottom="0.39" header="0" footer="0"/>
  <pageSetup paperSize="9" fitToWidth="0" fitToHeight="0" pageOrder="overThenDown" orientation="portrait" horizontalDpi="0" verticalDpi="0" copies="0"/>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cp:revision>1</cp:revision>
  <cp:lastPrinted>2026-04-10T07:22:51Z</cp:lastPrinted>
  <dcterms:created xsi:type="dcterms:W3CDTF">2026-04-10T07:22:51Z</dcterms:created>
  <dcterms:modified xsi:type="dcterms:W3CDTF">2026-04-13T13:59:01Z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1049-12.2.0.23196</vt:lpwstr>
  </property>
  <property fmtid="{D5CDD505-2E9C-101B-9397-08002B2CF9AE}" pid="3" name="ICV">
    <vt:lpwstr>0431EE6F734342F0BE6066BCC10E0CD3_13</vt:lpwstr>
  </property>
</Properties>
</file>